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ACTUALIZACION WEB INTA\TRANSPARENCIA\PAO - PRESUPUESTO\"/>
    </mc:Choice>
  </mc:AlternateContent>
  <bookViews>
    <workbookView xWindow="0" yWindow="0" windowWidth="19200" windowHeight="10995" tabRatio="812"/>
  </bookViews>
  <sheets>
    <sheet name="INGRESOS" sheetId="1" r:id="rId1"/>
    <sheet name="JUSTIFICACION DE INGRESOS" sheetId="4" r:id="rId2"/>
    <sheet name="RESUM. GASTO SOLICIIT. SUBPART " sheetId="6" r:id="rId3"/>
    <sheet name="JUSTIFICACION DE GASTO" sheetId="10" r:id="rId4"/>
    <sheet name="RES. GAST.  POR PORG. Y SUBPROG" sheetId="12" r:id="rId5"/>
    <sheet name="Est. Aplic. Fondos (Programa)" sheetId="30" r:id="rId6"/>
    <sheet name="Superavit Libre y Específico" sheetId="32" r:id="rId7"/>
  </sheets>
  <definedNames>
    <definedName name="_xlnm.Print_Titles" localSheetId="3">'JUSTIFICACION DE GASTO'!$9:$9</definedName>
    <definedName name="_xlnm.Print_Titles" localSheetId="1">'JUSTIFICACION DE INGRESOS'!$8:$8</definedName>
    <definedName name="_xlnm.Print_Titles" localSheetId="2">'RESUM. GASTO SOLICIIT. SUBPART '!$9:$9</definedName>
  </definedNames>
  <calcPr calcId="152511"/>
</workbook>
</file>

<file path=xl/calcChain.xml><?xml version="1.0" encoding="utf-8"?>
<calcChain xmlns="http://schemas.openxmlformats.org/spreadsheetml/2006/main">
  <c r="N155" i="6" l="1"/>
  <c r="N154" i="6"/>
  <c r="AA45" i="30" l="1"/>
  <c r="X45" i="30"/>
  <c r="U45" i="30"/>
  <c r="R45" i="30"/>
  <c r="O45" i="30"/>
  <c r="H76" i="32"/>
  <c r="H72" i="32"/>
  <c r="H71" i="32" s="1"/>
  <c r="J75" i="32"/>
  <c r="H75" i="32" s="1"/>
  <c r="J72" i="32"/>
  <c r="J70" i="32"/>
  <c r="H70" i="32" s="1"/>
  <c r="H69" i="32" s="1"/>
  <c r="J67" i="32"/>
  <c r="H67" i="32" s="1"/>
  <c r="H82" i="32"/>
  <c r="H81" i="32"/>
  <c r="H74" i="32" l="1"/>
  <c r="H73" i="32" s="1"/>
  <c r="J138" i="6" l="1"/>
  <c r="V138" i="6"/>
  <c r="N138" i="6"/>
  <c r="N137" i="6"/>
  <c r="N136" i="6"/>
  <c r="J136" i="6"/>
  <c r="J135" i="6"/>
  <c r="V135" i="6"/>
  <c r="N135" i="6"/>
  <c r="J134" i="6"/>
  <c r="V134" i="6"/>
  <c r="N134" i="6"/>
  <c r="N133" i="6"/>
  <c r="V133" i="6"/>
  <c r="N131" i="6" l="1"/>
  <c r="V131" i="6"/>
  <c r="C96" i="6" l="1"/>
  <c r="V71" i="6"/>
  <c r="V97" i="6"/>
  <c r="O113" i="6" l="1"/>
  <c r="R113" i="6"/>
  <c r="K113" i="6"/>
  <c r="J113" i="6" s="1"/>
  <c r="L113" i="6"/>
  <c r="N113" i="6" l="1"/>
  <c r="S65" i="6"/>
  <c r="J68" i="32" s="1"/>
  <c r="H68" i="32" s="1"/>
  <c r="H66" i="32" s="1"/>
  <c r="H65" i="32" s="1"/>
  <c r="K64" i="32" s="1"/>
  <c r="C34" i="1"/>
  <c r="H48" i="6" l="1"/>
  <c r="U93" i="6"/>
  <c r="L120" i="6" l="1"/>
  <c r="R104" i="6" l="1"/>
  <c r="C46" i="1" l="1"/>
  <c r="J93" i="6"/>
  <c r="C45" i="6" l="1"/>
  <c r="C61" i="6" l="1"/>
  <c r="O61" i="6"/>
  <c r="Q61" i="6"/>
  <c r="N102" i="6"/>
  <c r="N95" i="6"/>
  <c r="V93" i="6"/>
  <c r="N93" i="6"/>
  <c r="I93" i="6" s="1"/>
  <c r="C93" i="6"/>
  <c r="H65" i="6"/>
  <c r="C64" i="6"/>
  <c r="V65" i="6"/>
  <c r="N65" i="6"/>
  <c r="J65" i="6"/>
  <c r="P61" i="6"/>
  <c r="R61" i="6"/>
  <c r="L61" i="6"/>
  <c r="K61" i="6"/>
  <c r="O13" i="6" l="1"/>
  <c r="R13" i="6"/>
  <c r="Q13" i="6"/>
  <c r="P13" i="6"/>
  <c r="K13" i="6"/>
  <c r="K21" i="6" s="1"/>
  <c r="C48" i="1" l="1"/>
  <c r="D144" i="6" l="1"/>
  <c r="E144" i="6"/>
  <c r="F144" i="6"/>
  <c r="G144" i="6"/>
  <c r="K144" i="6"/>
  <c r="L144" i="6"/>
  <c r="M144" i="6"/>
  <c r="O144" i="6"/>
  <c r="P144" i="6"/>
  <c r="Q144" i="6"/>
  <c r="R144" i="6"/>
  <c r="S144" i="6"/>
  <c r="U144" i="6"/>
  <c r="W144" i="6"/>
  <c r="X144" i="6"/>
  <c r="Y144" i="6"/>
  <c r="Z144" i="6"/>
  <c r="AA144" i="6"/>
  <c r="H146" i="6"/>
  <c r="J146" i="6"/>
  <c r="N146" i="6"/>
  <c r="V146" i="6"/>
  <c r="T146" i="6" s="1"/>
  <c r="C144" i="6"/>
  <c r="I146" i="6" l="1"/>
  <c r="AB146" i="6"/>
  <c r="AC146" i="6" s="1"/>
  <c r="J58" i="32" s="1"/>
  <c r="H58" i="32" s="1"/>
  <c r="Z21" i="6"/>
  <c r="AA21" i="6"/>
  <c r="Y21" i="6"/>
  <c r="X21" i="6"/>
  <c r="W21" i="6"/>
  <c r="U21" i="6"/>
  <c r="S21" i="6"/>
  <c r="R21" i="6"/>
  <c r="Q21" i="6"/>
  <c r="P21" i="6"/>
  <c r="O21" i="6"/>
  <c r="M21" i="6"/>
  <c r="L21" i="6"/>
  <c r="D21" i="6"/>
  <c r="E21" i="6"/>
  <c r="F21" i="6"/>
  <c r="G21" i="6"/>
  <c r="C21" i="6"/>
  <c r="C25" i="6"/>
  <c r="D146" i="10" l="1"/>
  <c r="T124" i="6" l="1"/>
  <c r="T85" i="6"/>
  <c r="T50" i="6"/>
  <c r="V169" i="6"/>
  <c r="V166" i="6"/>
  <c r="V163" i="6"/>
  <c r="V161" i="6"/>
  <c r="V160" i="6"/>
  <c r="V158" i="6"/>
  <c r="V157" i="6"/>
  <c r="T157" i="6" s="1"/>
  <c r="V155" i="6"/>
  <c r="V154" i="6"/>
  <c r="V152" i="6"/>
  <c r="V150" i="6"/>
  <c r="V149" i="6"/>
  <c r="V145" i="6"/>
  <c r="V143" i="6"/>
  <c r="V142" i="6"/>
  <c r="V141" i="6"/>
  <c r="V140" i="6"/>
  <c r="V137" i="6"/>
  <c r="V136" i="6"/>
  <c r="V132" i="6"/>
  <c r="V128" i="6"/>
  <c r="V125" i="6"/>
  <c r="V124" i="6"/>
  <c r="V123" i="6"/>
  <c r="V122" i="6"/>
  <c r="V121" i="6"/>
  <c r="V120" i="6"/>
  <c r="V119" i="6"/>
  <c r="V118" i="6"/>
  <c r="V116" i="6"/>
  <c r="V115" i="6"/>
  <c r="V113" i="6"/>
  <c r="V112" i="6"/>
  <c r="V110" i="6"/>
  <c r="V109" i="6"/>
  <c r="V108" i="6"/>
  <c r="V107" i="6"/>
  <c r="V106" i="6"/>
  <c r="V105" i="6"/>
  <c r="V104" i="6"/>
  <c r="V102" i="6"/>
  <c r="V101" i="6"/>
  <c r="V100" i="6"/>
  <c r="V99" i="6"/>
  <c r="V96" i="6"/>
  <c r="V95" i="6"/>
  <c r="V94" i="6"/>
  <c r="V90" i="6"/>
  <c r="V89" i="6"/>
  <c r="V88" i="6"/>
  <c r="V87" i="6"/>
  <c r="V85" i="6"/>
  <c r="V83" i="6"/>
  <c r="V82" i="6"/>
  <c r="V81" i="6"/>
  <c r="V80" i="6"/>
  <c r="V79" i="6"/>
  <c r="V78" i="6"/>
  <c r="V77" i="6"/>
  <c r="V76" i="6"/>
  <c r="V75" i="6"/>
  <c r="V73" i="6"/>
  <c r="V72" i="6"/>
  <c r="V69" i="6"/>
  <c r="V67" i="6"/>
  <c r="V66" i="6"/>
  <c r="V64" i="6"/>
  <c r="V62" i="6"/>
  <c r="V61" i="6"/>
  <c r="V60" i="6"/>
  <c r="V59" i="6"/>
  <c r="V58" i="6"/>
  <c r="V57" i="6"/>
  <c r="V56" i="6"/>
  <c r="V54" i="6"/>
  <c r="V53" i="6"/>
  <c r="V52" i="6"/>
  <c r="V51" i="6"/>
  <c r="V50" i="6"/>
  <c r="V49" i="6"/>
  <c r="V48" i="6"/>
  <c r="V46" i="6"/>
  <c r="V45" i="6"/>
  <c r="V44" i="6"/>
  <c r="V43" i="6"/>
  <c r="V42" i="6"/>
  <c r="V40" i="6"/>
  <c r="V39" i="6"/>
  <c r="V38" i="6"/>
  <c r="V37" i="6"/>
  <c r="V36" i="6"/>
  <c r="V33" i="6"/>
  <c r="V31" i="6"/>
  <c r="V23" i="6"/>
  <c r="V22" i="6"/>
  <c r="V19" i="6"/>
  <c r="V17" i="6"/>
  <c r="V16" i="6"/>
  <c r="V14" i="6"/>
  <c r="V13" i="6"/>
  <c r="V12" i="6"/>
  <c r="U11" i="6"/>
  <c r="U15" i="6"/>
  <c r="U18" i="6"/>
  <c r="U25" i="6"/>
  <c r="U26" i="6"/>
  <c r="U28" i="6"/>
  <c r="U29" i="6"/>
  <c r="U30" i="6"/>
  <c r="U32" i="6"/>
  <c r="U35" i="6"/>
  <c r="U41" i="6"/>
  <c r="U47" i="6"/>
  <c r="U55" i="6"/>
  <c r="U63" i="6"/>
  <c r="U68" i="6"/>
  <c r="U70" i="6"/>
  <c r="U74" i="6"/>
  <c r="U84" i="6"/>
  <c r="U86" i="6"/>
  <c r="U92" i="6"/>
  <c r="U98" i="6"/>
  <c r="U103" i="6"/>
  <c r="U111" i="6"/>
  <c r="U114" i="6"/>
  <c r="U117" i="6"/>
  <c r="U127" i="6"/>
  <c r="U126" i="6" s="1"/>
  <c r="U130" i="6"/>
  <c r="U139" i="6"/>
  <c r="U148" i="6"/>
  <c r="U151" i="6"/>
  <c r="U153" i="6"/>
  <c r="U156" i="6"/>
  <c r="U159" i="6"/>
  <c r="U162" i="6"/>
  <c r="U165" i="6"/>
  <c r="U164" i="6" s="1"/>
  <c r="U168" i="6"/>
  <c r="U167" i="6" s="1"/>
  <c r="S11" i="6"/>
  <c r="S15" i="6"/>
  <c r="S18" i="6"/>
  <c r="S25" i="6"/>
  <c r="S26" i="6"/>
  <c r="S28" i="6"/>
  <c r="S29" i="6"/>
  <c r="S30" i="6"/>
  <c r="S32" i="6"/>
  <c r="S35" i="6"/>
  <c r="S41" i="6"/>
  <c r="S47" i="6"/>
  <c r="S55" i="6"/>
  <c r="S63" i="6"/>
  <c r="S68" i="6"/>
  <c r="S70" i="6"/>
  <c r="S74" i="6"/>
  <c r="S84" i="6"/>
  <c r="S86" i="6"/>
  <c r="S92" i="6"/>
  <c r="S98" i="6"/>
  <c r="S103" i="6"/>
  <c r="S111" i="6"/>
  <c r="S114" i="6"/>
  <c r="S117" i="6"/>
  <c r="S127" i="6"/>
  <c r="S126" i="6" s="1"/>
  <c r="S130" i="6"/>
  <c r="S139" i="6"/>
  <c r="S148" i="6"/>
  <c r="S151" i="6"/>
  <c r="S153" i="6"/>
  <c r="S156" i="6"/>
  <c r="S159" i="6"/>
  <c r="S162" i="6"/>
  <c r="S165" i="6"/>
  <c r="S164" i="6" s="1"/>
  <c r="S168" i="6"/>
  <c r="S167" i="6" s="1"/>
  <c r="H31" i="6"/>
  <c r="N169" i="6"/>
  <c r="N166" i="6"/>
  <c r="N163" i="6"/>
  <c r="N161" i="6"/>
  <c r="N160" i="6"/>
  <c r="N158" i="6"/>
  <c r="N157" i="6"/>
  <c r="N152" i="6"/>
  <c r="N150" i="6"/>
  <c r="N149" i="6"/>
  <c r="N145" i="6"/>
  <c r="N143" i="6"/>
  <c r="N142" i="6"/>
  <c r="N141" i="6"/>
  <c r="N140" i="6"/>
  <c r="N132" i="6"/>
  <c r="N128" i="6"/>
  <c r="N125" i="6"/>
  <c r="N124" i="6"/>
  <c r="N123" i="6"/>
  <c r="N122" i="6"/>
  <c r="N121" i="6"/>
  <c r="N120" i="6"/>
  <c r="N119" i="6"/>
  <c r="N118" i="6"/>
  <c r="N116" i="6"/>
  <c r="N115" i="6"/>
  <c r="N112" i="6"/>
  <c r="N110" i="6"/>
  <c r="N109" i="6"/>
  <c r="N108" i="6"/>
  <c r="N107" i="6"/>
  <c r="N106" i="6"/>
  <c r="N105" i="6"/>
  <c r="N104" i="6"/>
  <c r="N101" i="6"/>
  <c r="N100" i="6"/>
  <c r="N99" i="6"/>
  <c r="N97" i="6"/>
  <c r="N96" i="6"/>
  <c r="N94" i="6"/>
  <c r="N90" i="6"/>
  <c r="N89" i="6"/>
  <c r="N88" i="6"/>
  <c r="N87" i="6"/>
  <c r="N85" i="6"/>
  <c r="N83" i="6"/>
  <c r="N82" i="6"/>
  <c r="N81" i="6"/>
  <c r="N80" i="6"/>
  <c r="N79" i="6"/>
  <c r="N78" i="6"/>
  <c r="N77" i="6"/>
  <c r="N76" i="6"/>
  <c r="N75" i="6"/>
  <c r="N73" i="6"/>
  <c r="N72" i="6"/>
  <c r="N71" i="6"/>
  <c r="N69" i="6"/>
  <c r="N67" i="6"/>
  <c r="N66" i="6"/>
  <c r="N64" i="6"/>
  <c r="N61" i="6"/>
  <c r="N60" i="6"/>
  <c r="N59" i="6"/>
  <c r="N58" i="6"/>
  <c r="N57" i="6"/>
  <c r="N56" i="6"/>
  <c r="N54" i="6"/>
  <c r="N53" i="6"/>
  <c r="N52" i="6"/>
  <c r="N51" i="6"/>
  <c r="N50" i="6"/>
  <c r="N49" i="6"/>
  <c r="N48" i="6"/>
  <c r="N46" i="6"/>
  <c r="N45" i="6"/>
  <c r="N44" i="6"/>
  <c r="N43" i="6"/>
  <c r="N42" i="6"/>
  <c r="N40" i="6"/>
  <c r="N39" i="6"/>
  <c r="N38" i="6"/>
  <c r="N37" i="6"/>
  <c r="N36" i="6"/>
  <c r="N33" i="6"/>
  <c r="N31" i="6"/>
  <c r="N23" i="6"/>
  <c r="N22" i="6"/>
  <c r="N20" i="6"/>
  <c r="N19" i="6"/>
  <c r="N17" i="6"/>
  <c r="N16" i="6"/>
  <c r="N14" i="6"/>
  <c r="N13" i="6"/>
  <c r="N12" i="6"/>
  <c r="P11" i="6"/>
  <c r="Q11" i="6"/>
  <c r="R11" i="6"/>
  <c r="P15" i="6"/>
  <c r="Q15" i="6"/>
  <c r="R15" i="6"/>
  <c r="P18" i="6"/>
  <c r="Q18" i="6"/>
  <c r="R18" i="6"/>
  <c r="P25" i="6"/>
  <c r="Q25" i="6"/>
  <c r="R25" i="6"/>
  <c r="P26" i="6"/>
  <c r="Q26" i="6"/>
  <c r="R26" i="6"/>
  <c r="P28" i="6"/>
  <c r="Q28" i="6"/>
  <c r="R28" i="6"/>
  <c r="P29" i="6"/>
  <c r="Q29" i="6"/>
  <c r="R29" i="6"/>
  <c r="P30" i="6"/>
  <c r="Q30" i="6"/>
  <c r="R30" i="6"/>
  <c r="P32" i="6"/>
  <c r="Q32" i="6"/>
  <c r="R32" i="6"/>
  <c r="P35" i="6"/>
  <c r="Q35" i="6"/>
  <c r="R35" i="6"/>
  <c r="P41" i="6"/>
  <c r="Q41" i="6"/>
  <c r="R41" i="6"/>
  <c r="P47" i="6"/>
  <c r="Q47" i="6"/>
  <c r="R47" i="6"/>
  <c r="P55" i="6"/>
  <c r="Q55" i="6"/>
  <c r="R55" i="6"/>
  <c r="P63" i="6"/>
  <c r="Q63" i="6"/>
  <c r="R63" i="6"/>
  <c r="P68" i="6"/>
  <c r="Q68" i="6"/>
  <c r="R68" i="6"/>
  <c r="P70" i="6"/>
  <c r="Q70" i="6"/>
  <c r="R70" i="6"/>
  <c r="P74" i="6"/>
  <c r="Q74" i="6"/>
  <c r="R74" i="6"/>
  <c r="P84" i="6"/>
  <c r="Q84" i="6"/>
  <c r="R84" i="6"/>
  <c r="P86" i="6"/>
  <c r="Q86" i="6"/>
  <c r="R86" i="6"/>
  <c r="P92" i="6"/>
  <c r="Q92" i="6"/>
  <c r="R92" i="6"/>
  <c r="P98" i="6"/>
  <c r="Q98" i="6"/>
  <c r="R98" i="6"/>
  <c r="P103" i="6"/>
  <c r="Q103" i="6"/>
  <c r="R103" i="6"/>
  <c r="P111" i="6"/>
  <c r="Q111" i="6"/>
  <c r="R111" i="6"/>
  <c r="P114" i="6"/>
  <c r="Q114" i="6"/>
  <c r="R114" i="6"/>
  <c r="P117" i="6"/>
  <c r="Q117" i="6"/>
  <c r="R117" i="6"/>
  <c r="P127" i="6"/>
  <c r="P126" i="6" s="1"/>
  <c r="Q127" i="6"/>
  <c r="Q126" i="6" s="1"/>
  <c r="R127" i="6"/>
  <c r="R126" i="6" s="1"/>
  <c r="P130" i="6"/>
  <c r="Q130" i="6"/>
  <c r="R130" i="6"/>
  <c r="P139" i="6"/>
  <c r="Q139" i="6"/>
  <c r="R139" i="6"/>
  <c r="P148" i="6"/>
  <c r="Q148" i="6"/>
  <c r="R148" i="6"/>
  <c r="P151" i="6"/>
  <c r="Q151" i="6"/>
  <c r="R151" i="6"/>
  <c r="P153" i="6"/>
  <c r="Q153" i="6"/>
  <c r="R153" i="6"/>
  <c r="P156" i="6"/>
  <c r="Q156" i="6"/>
  <c r="R156" i="6"/>
  <c r="P159" i="6"/>
  <c r="Q159" i="6"/>
  <c r="R159" i="6"/>
  <c r="P162" i="6"/>
  <c r="Q162" i="6"/>
  <c r="R162" i="6"/>
  <c r="P165" i="6"/>
  <c r="P164" i="6" s="1"/>
  <c r="Q165" i="6"/>
  <c r="Q164" i="6" s="1"/>
  <c r="R165" i="6"/>
  <c r="R164" i="6" s="1"/>
  <c r="P168" i="6"/>
  <c r="P167" i="6" s="1"/>
  <c r="Q168" i="6"/>
  <c r="Q167" i="6" s="1"/>
  <c r="R168" i="6"/>
  <c r="R167" i="6" s="1"/>
  <c r="J169" i="6"/>
  <c r="J166" i="6"/>
  <c r="J163" i="6"/>
  <c r="J161" i="6"/>
  <c r="J160" i="6"/>
  <c r="J158" i="6"/>
  <c r="J157" i="6"/>
  <c r="J155" i="6"/>
  <c r="J154" i="6"/>
  <c r="J152" i="6"/>
  <c r="J150" i="6"/>
  <c r="J149" i="6"/>
  <c r="J145" i="6"/>
  <c r="J143" i="6"/>
  <c r="J142" i="6"/>
  <c r="J141" i="6"/>
  <c r="J140" i="6"/>
  <c r="J137" i="6"/>
  <c r="J133" i="6"/>
  <c r="J132" i="6"/>
  <c r="J131" i="6"/>
  <c r="J128" i="6"/>
  <c r="J125" i="6"/>
  <c r="J124" i="6"/>
  <c r="J123" i="6"/>
  <c r="J122" i="6"/>
  <c r="J121" i="6"/>
  <c r="J120" i="6"/>
  <c r="J119" i="6"/>
  <c r="J118" i="6"/>
  <c r="J116" i="6"/>
  <c r="J115" i="6"/>
  <c r="J112" i="6"/>
  <c r="J110" i="6"/>
  <c r="J109" i="6"/>
  <c r="J108" i="6"/>
  <c r="J107" i="6"/>
  <c r="J106" i="6"/>
  <c r="J105" i="6"/>
  <c r="J104" i="6"/>
  <c r="J102" i="6"/>
  <c r="J101" i="6"/>
  <c r="J100" i="6"/>
  <c r="J99" i="6"/>
  <c r="J97" i="6"/>
  <c r="J96" i="6"/>
  <c r="J95" i="6"/>
  <c r="J94" i="6"/>
  <c r="J90" i="6"/>
  <c r="J89" i="6"/>
  <c r="J88" i="6"/>
  <c r="J87" i="6"/>
  <c r="J85" i="6"/>
  <c r="J83" i="6"/>
  <c r="J82" i="6"/>
  <c r="J81" i="6"/>
  <c r="J80" i="6"/>
  <c r="J79" i="6"/>
  <c r="J78" i="6"/>
  <c r="J77" i="6"/>
  <c r="J76" i="6"/>
  <c r="J75" i="6"/>
  <c r="J73" i="6"/>
  <c r="J72" i="6"/>
  <c r="J71" i="6"/>
  <c r="J69" i="6"/>
  <c r="J67" i="6"/>
  <c r="J66" i="6"/>
  <c r="J64" i="6"/>
  <c r="I65" i="6"/>
  <c r="J62" i="6"/>
  <c r="J61" i="6"/>
  <c r="J60" i="6"/>
  <c r="J59" i="6"/>
  <c r="J58" i="6"/>
  <c r="J57" i="6"/>
  <c r="J56" i="6"/>
  <c r="J54" i="6"/>
  <c r="J53" i="6"/>
  <c r="J52" i="6"/>
  <c r="J51" i="6"/>
  <c r="J50" i="6"/>
  <c r="J49" i="6"/>
  <c r="J48" i="6"/>
  <c r="J46" i="6"/>
  <c r="J45" i="6"/>
  <c r="J44" i="6"/>
  <c r="J43" i="6"/>
  <c r="J42" i="6"/>
  <c r="J40" i="6"/>
  <c r="J39" i="6"/>
  <c r="J38" i="6"/>
  <c r="J37" i="6"/>
  <c r="J36" i="6"/>
  <c r="J33" i="6"/>
  <c r="J31" i="6"/>
  <c r="J23" i="6"/>
  <c r="J22" i="6"/>
  <c r="J20" i="6"/>
  <c r="J19" i="6"/>
  <c r="J17" i="6"/>
  <c r="J16" i="6"/>
  <c r="J14" i="6"/>
  <c r="J13" i="6"/>
  <c r="J12" i="6"/>
  <c r="H169" i="6"/>
  <c r="H166" i="6"/>
  <c r="H163" i="6"/>
  <c r="H161" i="6"/>
  <c r="H160" i="6"/>
  <c r="H158" i="6"/>
  <c r="H157" i="6"/>
  <c r="H155" i="6"/>
  <c r="H154" i="6"/>
  <c r="H152" i="6"/>
  <c r="H150" i="6"/>
  <c r="H149" i="6"/>
  <c r="I61" i="32" s="1"/>
  <c r="H145" i="6"/>
  <c r="H143" i="6"/>
  <c r="H142" i="6"/>
  <c r="H141" i="6"/>
  <c r="H140" i="6"/>
  <c r="H138" i="6"/>
  <c r="H137" i="6"/>
  <c r="I49" i="32" s="1"/>
  <c r="H136" i="6"/>
  <c r="H135" i="6"/>
  <c r="I47" i="32" s="1"/>
  <c r="H134" i="6"/>
  <c r="I46" i="32" s="1"/>
  <c r="H133" i="6"/>
  <c r="I45" i="32" s="1"/>
  <c r="H132" i="6"/>
  <c r="H131" i="6"/>
  <c r="H128" i="6"/>
  <c r="H125" i="6"/>
  <c r="H124" i="6"/>
  <c r="H123" i="6"/>
  <c r="H122" i="6"/>
  <c r="H121" i="6"/>
  <c r="H120" i="6"/>
  <c r="H119" i="6"/>
  <c r="H118" i="6"/>
  <c r="H116" i="6"/>
  <c r="H115" i="6"/>
  <c r="H113" i="6"/>
  <c r="I36" i="32" s="1"/>
  <c r="H112" i="6"/>
  <c r="H110" i="6"/>
  <c r="H109" i="6"/>
  <c r="H108" i="6"/>
  <c r="H107" i="6"/>
  <c r="H106" i="6"/>
  <c r="H105" i="6"/>
  <c r="H104" i="6"/>
  <c r="H102" i="6"/>
  <c r="H101" i="6"/>
  <c r="H100" i="6"/>
  <c r="H99" i="6"/>
  <c r="H97" i="6"/>
  <c r="H96" i="6"/>
  <c r="H95" i="6"/>
  <c r="H94" i="6"/>
  <c r="H93" i="6"/>
  <c r="H90" i="6"/>
  <c r="H89" i="6"/>
  <c r="H88" i="6"/>
  <c r="H87" i="6"/>
  <c r="H85" i="6"/>
  <c r="H83" i="6"/>
  <c r="H82" i="6"/>
  <c r="H81" i="6"/>
  <c r="H80" i="6"/>
  <c r="H79" i="6"/>
  <c r="H78" i="6"/>
  <c r="H77" i="6"/>
  <c r="H76" i="6"/>
  <c r="H75" i="6"/>
  <c r="H73" i="6"/>
  <c r="H72" i="6"/>
  <c r="H71" i="6"/>
  <c r="H69" i="6"/>
  <c r="H67" i="6"/>
  <c r="H66" i="6"/>
  <c r="H64" i="6"/>
  <c r="H62" i="6"/>
  <c r="H61" i="6"/>
  <c r="H60" i="6"/>
  <c r="H59" i="6"/>
  <c r="H58" i="6"/>
  <c r="H57" i="6"/>
  <c r="H56" i="6"/>
  <c r="H54" i="6"/>
  <c r="H53" i="6"/>
  <c r="H52" i="6"/>
  <c r="H51" i="6"/>
  <c r="H50" i="6"/>
  <c r="H49" i="6"/>
  <c r="H46" i="6"/>
  <c r="H45" i="6"/>
  <c r="H44" i="6"/>
  <c r="H43" i="6"/>
  <c r="H42" i="6"/>
  <c r="H40" i="6"/>
  <c r="H39" i="6"/>
  <c r="H38" i="6"/>
  <c r="H37" i="6"/>
  <c r="H36" i="6"/>
  <c r="J35" i="30" s="1"/>
  <c r="H33" i="6"/>
  <c r="H23" i="6"/>
  <c r="H22" i="6"/>
  <c r="H20" i="6"/>
  <c r="H19" i="6"/>
  <c r="H17" i="6"/>
  <c r="H16" i="6"/>
  <c r="H14" i="6"/>
  <c r="H13" i="6"/>
  <c r="H12" i="6"/>
  <c r="D11" i="6"/>
  <c r="E11" i="6"/>
  <c r="F11" i="6"/>
  <c r="G11" i="6"/>
  <c r="D15" i="6"/>
  <c r="E15" i="6"/>
  <c r="F15" i="6"/>
  <c r="G15" i="6"/>
  <c r="D18" i="6"/>
  <c r="E18" i="6"/>
  <c r="F18" i="6"/>
  <c r="G18" i="6"/>
  <c r="D25" i="6"/>
  <c r="E25" i="6"/>
  <c r="F25" i="6"/>
  <c r="G25" i="6"/>
  <c r="D26" i="6"/>
  <c r="E26" i="6"/>
  <c r="F26" i="6"/>
  <c r="F24" i="6" s="1"/>
  <c r="G26" i="6"/>
  <c r="D28" i="6"/>
  <c r="E28" i="6"/>
  <c r="F28" i="6"/>
  <c r="G28" i="6"/>
  <c r="D29" i="6"/>
  <c r="E29" i="6"/>
  <c r="F29" i="6"/>
  <c r="G29" i="6"/>
  <c r="D30" i="6"/>
  <c r="E30" i="6"/>
  <c r="F30" i="6"/>
  <c r="G30" i="6"/>
  <c r="D32" i="6"/>
  <c r="E32" i="6"/>
  <c r="F32" i="6"/>
  <c r="G32" i="6"/>
  <c r="D35" i="6"/>
  <c r="E35" i="6"/>
  <c r="F35" i="6"/>
  <c r="G35" i="6"/>
  <c r="D41" i="6"/>
  <c r="E41" i="6"/>
  <c r="F41" i="6"/>
  <c r="G41" i="6"/>
  <c r="D47" i="6"/>
  <c r="E47" i="6"/>
  <c r="F47" i="6"/>
  <c r="G47" i="6"/>
  <c r="D55" i="6"/>
  <c r="F55" i="6"/>
  <c r="E55" i="6"/>
  <c r="G55" i="6"/>
  <c r="D63" i="6"/>
  <c r="E63" i="6"/>
  <c r="F63" i="6"/>
  <c r="G63" i="6"/>
  <c r="D68" i="6"/>
  <c r="E68" i="6"/>
  <c r="F68" i="6"/>
  <c r="G68" i="6"/>
  <c r="D70" i="6"/>
  <c r="E70" i="6"/>
  <c r="F70" i="6"/>
  <c r="G70" i="6"/>
  <c r="E74" i="6"/>
  <c r="G74" i="6"/>
  <c r="D74" i="6"/>
  <c r="F74" i="6"/>
  <c r="D84" i="6"/>
  <c r="E84" i="6"/>
  <c r="F84" i="6"/>
  <c r="G84" i="6"/>
  <c r="D86" i="6"/>
  <c r="E86" i="6"/>
  <c r="F86" i="6"/>
  <c r="G86" i="6"/>
  <c r="D92" i="6"/>
  <c r="E92" i="6"/>
  <c r="F92" i="6"/>
  <c r="G92" i="6"/>
  <c r="D98" i="6"/>
  <c r="E98" i="6"/>
  <c r="F98" i="6"/>
  <c r="G98" i="6"/>
  <c r="D103" i="6"/>
  <c r="E103" i="6"/>
  <c r="F103" i="6"/>
  <c r="G103" i="6"/>
  <c r="D111" i="6"/>
  <c r="E111" i="6"/>
  <c r="F111" i="6"/>
  <c r="G111" i="6"/>
  <c r="D114" i="6"/>
  <c r="E114" i="6"/>
  <c r="F114" i="6"/>
  <c r="G114" i="6"/>
  <c r="D117" i="6"/>
  <c r="E117" i="6"/>
  <c r="F117" i="6"/>
  <c r="G117" i="6"/>
  <c r="D127" i="6"/>
  <c r="D126" i="6" s="1"/>
  <c r="E127" i="6"/>
  <c r="E126" i="6" s="1"/>
  <c r="F127" i="6"/>
  <c r="F126" i="6" s="1"/>
  <c r="G127" i="6"/>
  <c r="G126" i="6" s="1"/>
  <c r="D130" i="6"/>
  <c r="E130" i="6"/>
  <c r="F130" i="6"/>
  <c r="G130" i="6"/>
  <c r="D139" i="6"/>
  <c r="E139" i="6"/>
  <c r="F139" i="6"/>
  <c r="G139" i="6"/>
  <c r="D148" i="6"/>
  <c r="E148" i="6"/>
  <c r="F148" i="6"/>
  <c r="G148" i="6"/>
  <c r="D151" i="6"/>
  <c r="E151" i="6"/>
  <c r="F151" i="6"/>
  <c r="G151" i="6"/>
  <c r="D153" i="6"/>
  <c r="E153" i="6"/>
  <c r="F153" i="6"/>
  <c r="G153" i="6"/>
  <c r="D156" i="6"/>
  <c r="E156" i="6"/>
  <c r="F156" i="6"/>
  <c r="G156" i="6"/>
  <c r="D159" i="6"/>
  <c r="E159" i="6"/>
  <c r="F159" i="6"/>
  <c r="G159" i="6"/>
  <c r="D162" i="6"/>
  <c r="E162" i="6"/>
  <c r="F162" i="6"/>
  <c r="G162" i="6"/>
  <c r="D165" i="6"/>
  <c r="D164" i="6" s="1"/>
  <c r="E165" i="6"/>
  <c r="E164" i="6" s="1"/>
  <c r="F165" i="6"/>
  <c r="F164" i="6" s="1"/>
  <c r="G165" i="6"/>
  <c r="G164" i="6" s="1"/>
  <c r="D168" i="6"/>
  <c r="D167" i="6" s="1"/>
  <c r="E168" i="6"/>
  <c r="E167" i="6" s="1"/>
  <c r="F168" i="6"/>
  <c r="F167" i="6" s="1"/>
  <c r="G168" i="6"/>
  <c r="G167" i="6" s="1"/>
  <c r="J43" i="30" l="1"/>
  <c r="T36" i="6"/>
  <c r="T75" i="6"/>
  <c r="T109" i="6"/>
  <c r="T150" i="6"/>
  <c r="M43" i="30"/>
  <c r="I35" i="32"/>
  <c r="T54" i="6"/>
  <c r="T89" i="6"/>
  <c r="T141" i="6"/>
  <c r="T163" i="6"/>
  <c r="T33" i="6"/>
  <c r="T69" i="6"/>
  <c r="T105" i="6"/>
  <c r="T142" i="6"/>
  <c r="I85" i="6"/>
  <c r="J144" i="6"/>
  <c r="I154" i="6"/>
  <c r="I160" i="6"/>
  <c r="I169" i="6"/>
  <c r="H32" i="6"/>
  <c r="H162" i="6"/>
  <c r="I149" i="6"/>
  <c r="I155" i="6"/>
  <c r="I161" i="6"/>
  <c r="I31" i="6"/>
  <c r="U129" i="6"/>
  <c r="V144" i="6"/>
  <c r="T128" i="6"/>
  <c r="T152" i="6"/>
  <c r="T158" i="6"/>
  <c r="T166" i="6"/>
  <c r="H151" i="6"/>
  <c r="I150" i="6"/>
  <c r="I157" i="6"/>
  <c r="I156" i="6" s="1"/>
  <c r="S129" i="6"/>
  <c r="I145" i="6"/>
  <c r="T14" i="6"/>
  <c r="T40" i="6"/>
  <c r="T59" i="6"/>
  <c r="T79" i="6"/>
  <c r="T95" i="6"/>
  <c r="T115" i="6"/>
  <c r="T132" i="6"/>
  <c r="T145" i="6"/>
  <c r="T154" i="6"/>
  <c r="T160" i="6"/>
  <c r="T169" i="6"/>
  <c r="H156" i="6"/>
  <c r="H144" i="6"/>
  <c r="H159" i="6"/>
  <c r="I128" i="6"/>
  <c r="I152" i="6"/>
  <c r="I158" i="6"/>
  <c r="I166" i="6"/>
  <c r="N144" i="6"/>
  <c r="I163" i="6"/>
  <c r="U147" i="6"/>
  <c r="T22" i="6"/>
  <c r="T45" i="6"/>
  <c r="T64" i="6"/>
  <c r="T83" i="6"/>
  <c r="T100" i="6"/>
  <c r="T120" i="6"/>
  <c r="T136" i="6"/>
  <c r="T149" i="6"/>
  <c r="T155" i="6"/>
  <c r="T161" i="6"/>
  <c r="T52" i="6"/>
  <c r="I108" i="6"/>
  <c r="H84" i="6"/>
  <c r="H153" i="6"/>
  <c r="H68" i="6"/>
  <c r="R27" i="6"/>
  <c r="H98" i="6"/>
  <c r="I16" i="6"/>
  <c r="I36" i="6"/>
  <c r="I50" i="6"/>
  <c r="I59" i="6"/>
  <c r="I83" i="6"/>
  <c r="I100" i="6"/>
  <c r="I115" i="6"/>
  <c r="I136" i="6"/>
  <c r="I67" i="6"/>
  <c r="I73" i="6"/>
  <c r="I78" i="6"/>
  <c r="I82" i="6"/>
  <c r="I94" i="6"/>
  <c r="I99" i="6"/>
  <c r="I104" i="6"/>
  <c r="I113" i="6"/>
  <c r="I119" i="6"/>
  <c r="I123" i="6"/>
  <c r="I131" i="6"/>
  <c r="I135" i="6"/>
  <c r="I140" i="6"/>
  <c r="I88" i="6"/>
  <c r="T13" i="6"/>
  <c r="T19" i="6"/>
  <c r="T39" i="6"/>
  <c r="T44" i="6"/>
  <c r="T49" i="6"/>
  <c r="T53" i="6"/>
  <c r="T58" i="6"/>
  <c r="T62" i="6"/>
  <c r="T67" i="6"/>
  <c r="T73" i="6"/>
  <c r="T78" i="6"/>
  <c r="T82" i="6"/>
  <c r="T88" i="6"/>
  <c r="T94" i="6"/>
  <c r="T99" i="6"/>
  <c r="T104" i="6"/>
  <c r="T108" i="6"/>
  <c r="T113" i="6"/>
  <c r="T119" i="6"/>
  <c r="T123" i="6"/>
  <c r="T131" i="6"/>
  <c r="T135" i="6"/>
  <c r="T140" i="6"/>
  <c r="I45" i="6"/>
  <c r="I54" i="6"/>
  <c r="I75" i="6"/>
  <c r="I89" i="6"/>
  <c r="I105" i="6"/>
  <c r="I120" i="6"/>
  <c r="I132" i="6"/>
  <c r="I17" i="6"/>
  <c r="I23" i="6"/>
  <c r="I37" i="6"/>
  <c r="I42" i="6"/>
  <c r="I46" i="6"/>
  <c r="I51" i="6"/>
  <c r="I56" i="6"/>
  <c r="I60" i="6"/>
  <c r="I71" i="6"/>
  <c r="I76" i="6"/>
  <c r="I80" i="6"/>
  <c r="I90" i="6"/>
  <c r="I96" i="6"/>
  <c r="I101" i="6"/>
  <c r="I106" i="6"/>
  <c r="I110" i="6"/>
  <c r="I116" i="6"/>
  <c r="I121" i="6"/>
  <c r="I125" i="6"/>
  <c r="I133" i="6"/>
  <c r="I137" i="6"/>
  <c r="I142" i="6"/>
  <c r="I48" i="6"/>
  <c r="T16" i="6"/>
  <c r="T23" i="6"/>
  <c r="T37" i="6"/>
  <c r="T42" i="6"/>
  <c r="T46" i="6"/>
  <c r="T51" i="6"/>
  <c r="T56" i="6"/>
  <c r="T60" i="6"/>
  <c r="T65" i="6"/>
  <c r="T71" i="6"/>
  <c r="T76" i="6"/>
  <c r="T80" i="6"/>
  <c r="T90" i="6"/>
  <c r="T96" i="6"/>
  <c r="T101" i="6"/>
  <c r="T106" i="6"/>
  <c r="T110" i="6"/>
  <c r="T116" i="6"/>
  <c r="T121" i="6"/>
  <c r="T125" i="6"/>
  <c r="T133" i="6"/>
  <c r="T137" i="6"/>
  <c r="H41" i="6"/>
  <c r="I22" i="6"/>
  <c r="I40" i="6"/>
  <c r="I79" i="6"/>
  <c r="I95" i="6"/>
  <c r="I109" i="6"/>
  <c r="I124" i="6"/>
  <c r="I141" i="6"/>
  <c r="I19" i="6"/>
  <c r="I38" i="6"/>
  <c r="I43" i="6"/>
  <c r="I52" i="6"/>
  <c r="I57" i="6"/>
  <c r="I61" i="6"/>
  <c r="I66" i="6"/>
  <c r="I77" i="6"/>
  <c r="I81" i="6"/>
  <c r="I87" i="6"/>
  <c r="I97" i="6"/>
  <c r="I102" i="6"/>
  <c r="I107" i="6"/>
  <c r="I112" i="6"/>
  <c r="I118" i="6"/>
  <c r="I122" i="6"/>
  <c r="I134" i="6"/>
  <c r="I138" i="6"/>
  <c r="I143" i="6"/>
  <c r="I64" i="6"/>
  <c r="I72" i="6"/>
  <c r="T17" i="6"/>
  <c r="T31" i="6"/>
  <c r="T38" i="6"/>
  <c r="T43" i="6"/>
  <c r="T48" i="6"/>
  <c r="T57" i="6"/>
  <c r="T61" i="6"/>
  <c r="T66" i="6"/>
  <c r="T72" i="6"/>
  <c r="T77" i="6"/>
  <c r="T81" i="6"/>
  <c r="T87" i="6"/>
  <c r="T93" i="6"/>
  <c r="T97" i="6"/>
  <c r="T102" i="6"/>
  <c r="T107" i="6"/>
  <c r="T112" i="6"/>
  <c r="T118" i="6"/>
  <c r="T122" i="6"/>
  <c r="T134" i="6"/>
  <c r="T138" i="6"/>
  <c r="T143" i="6"/>
  <c r="I13" i="6"/>
  <c r="T12" i="6"/>
  <c r="I12" i="6"/>
  <c r="S27" i="6"/>
  <c r="S24" i="6"/>
  <c r="H168" i="6"/>
  <c r="H167" i="6" s="1"/>
  <c r="H165" i="6"/>
  <c r="H164" i="6" s="1"/>
  <c r="H127" i="6"/>
  <c r="H126" i="6" s="1"/>
  <c r="U24" i="6"/>
  <c r="I14" i="6"/>
  <c r="I20" i="6"/>
  <c r="I39" i="6"/>
  <c r="I44" i="6"/>
  <c r="I49" i="6"/>
  <c r="I53" i="6"/>
  <c r="I58" i="6"/>
  <c r="S147" i="6"/>
  <c r="I69" i="6"/>
  <c r="U27" i="6"/>
  <c r="I84" i="6"/>
  <c r="I162" i="6"/>
  <c r="S34" i="6"/>
  <c r="K45" i="30" s="1"/>
  <c r="I45" i="30" s="1"/>
  <c r="I33" i="6"/>
  <c r="S91" i="6"/>
  <c r="N45" i="30" s="1"/>
  <c r="L45" i="30" s="1"/>
  <c r="U91" i="6"/>
  <c r="U34" i="6"/>
  <c r="R147" i="6"/>
  <c r="P27" i="6"/>
  <c r="R24" i="6"/>
  <c r="Q24" i="6"/>
  <c r="I127" i="6"/>
  <c r="I126" i="6" s="1"/>
  <c r="I151" i="6"/>
  <c r="Q147" i="6"/>
  <c r="P147" i="6"/>
  <c r="R91" i="6"/>
  <c r="P91" i="6"/>
  <c r="Q27" i="6"/>
  <c r="P24" i="6"/>
  <c r="E27" i="6"/>
  <c r="Q129" i="6"/>
  <c r="P129" i="6"/>
  <c r="Q34" i="6"/>
  <c r="P34" i="6"/>
  <c r="Q91" i="6"/>
  <c r="R129" i="6"/>
  <c r="R34" i="6"/>
  <c r="H15" i="6"/>
  <c r="H114" i="6"/>
  <c r="H35" i="6"/>
  <c r="H55" i="6"/>
  <c r="H74" i="6"/>
  <c r="H111" i="6"/>
  <c r="H117" i="6"/>
  <c r="I153" i="6"/>
  <c r="H148" i="6"/>
  <c r="F147" i="6"/>
  <c r="D147" i="6"/>
  <c r="H47" i="6"/>
  <c r="H63" i="6"/>
  <c r="H70" i="6"/>
  <c r="H86" i="6"/>
  <c r="H92" i="6"/>
  <c r="H103" i="6"/>
  <c r="H130" i="6"/>
  <c r="H139" i="6"/>
  <c r="F129" i="6"/>
  <c r="G27" i="6"/>
  <c r="D24" i="6"/>
  <c r="D129" i="6"/>
  <c r="E147" i="6"/>
  <c r="E129" i="6"/>
  <c r="D27" i="6"/>
  <c r="E24" i="6"/>
  <c r="G129" i="6"/>
  <c r="F27" i="6"/>
  <c r="F10" i="6" s="1"/>
  <c r="G24" i="6"/>
  <c r="H11" i="6"/>
  <c r="F34" i="6"/>
  <c r="G34" i="6"/>
  <c r="G91" i="6"/>
  <c r="E91" i="6"/>
  <c r="F91" i="6"/>
  <c r="D91" i="6"/>
  <c r="G147" i="6"/>
  <c r="D34" i="6"/>
  <c r="E34" i="6"/>
  <c r="L36" i="30"/>
  <c r="I36" i="30"/>
  <c r="F36" i="30"/>
  <c r="AD45" i="30" l="1"/>
  <c r="AB141" i="6"/>
  <c r="AC141" i="6" s="1"/>
  <c r="AB108" i="6"/>
  <c r="AC108" i="6" s="1"/>
  <c r="T144" i="6"/>
  <c r="AB58" i="6"/>
  <c r="AC58" i="6" s="1"/>
  <c r="AB31" i="6"/>
  <c r="AC31" i="6" s="1"/>
  <c r="AB64" i="6"/>
  <c r="AC64" i="6" s="1"/>
  <c r="AB138" i="6"/>
  <c r="AB65" i="6"/>
  <c r="AB142" i="6"/>
  <c r="AC142" i="6" s="1"/>
  <c r="AB133" i="6"/>
  <c r="AB42" i="6"/>
  <c r="AC42" i="6" s="1"/>
  <c r="AB120" i="6"/>
  <c r="AC120" i="6" s="1"/>
  <c r="AB89" i="6"/>
  <c r="AC89" i="6" s="1"/>
  <c r="AB54" i="6"/>
  <c r="AC54" i="6" s="1"/>
  <c r="AB135" i="6"/>
  <c r="AC135" i="6" s="1"/>
  <c r="AB115" i="6"/>
  <c r="AC115" i="6" s="1"/>
  <c r="AB83" i="6"/>
  <c r="AC83" i="6" s="1"/>
  <c r="AB50" i="6"/>
  <c r="AC50" i="6" s="1"/>
  <c r="AB163" i="6"/>
  <c r="AC163" i="6" s="1"/>
  <c r="AB128" i="6"/>
  <c r="AC128" i="6" s="1"/>
  <c r="AB150" i="6"/>
  <c r="AC150" i="6" s="1"/>
  <c r="AB93" i="6"/>
  <c r="AB43" i="6"/>
  <c r="AC43" i="6" s="1"/>
  <c r="AB149" i="6"/>
  <c r="AC149" i="6" s="1"/>
  <c r="I148" i="6"/>
  <c r="S10" i="6"/>
  <c r="S171" i="6" s="1"/>
  <c r="I70" i="6"/>
  <c r="AB134" i="6"/>
  <c r="AC134" i="6" s="1"/>
  <c r="AB61" i="6"/>
  <c r="AC61" i="6" s="1"/>
  <c r="AB137" i="6"/>
  <c r="AC137" i="6" s="1"/>
  <c r="J49" i="32" s="1"/>
  <c r="AB116" i="6"/>
  <c r="AC116" i="6" s="1"/>
  <c r="AB96" i="6"/>
  <c r="AC96" i="6" s="1"/>
  <c r="AB132" i="6"/>
  <c r="AC132" i="6" s="1"/>
  <c r="AB105" i="6"/>
  <c r="AC105" i="6" s="1"/>
  <c r="AB75" i="6"/>
  <c r="AC75" i="6" s="1"/>
  <c r="AB131" i="6"/>
  <c r="AC131" i="6" s="1"/>
  <c r="AB136" i="6"/>
  <c r="AB59" i="6"/>
  <c r="AC59" i="6" s="1"/>
  <c r="AB36" i="6"/>
  <c r="AC36" i="6" s="1"/>
  <c r="AB152" i="6"/>
  <c r="AC152" i="6" s="1"/>
  <c r="AB157" i="6"/>
  <c r="AC157" i="6" s="1"/>
  <c r="AB19" i="6"/>
  <c r="AC19" i="6" s="1"/>
  <c r="AB109" i="6"/>
  <c r="AC109" i="6" s="1"/>
  <c r="I159" i="6"/>
  <c r="AB124" i="6"/>
  <c r="AC124" i="6" s="1"/>
  <c r="AB95" i="6"/>
  <c r="I168" i="6"/>
  <c r="I167" i="6" s="1"/>
  <c r="AB85" i="6"/>
  <c r="AC85" i="6" s="1"/>
  <c r="AC136" i="6"/>
  <c r="I32" i="6"/>
  <c r="AB33" i="6"/>
  <c r="AC33" i="6" s="1"/>
  <c r="AB53" i="6"/>
  <c r="AC53" i="6" s="1"/>
  <c r="I139" i="6"/>
  <c r="AB40" i="6"/>
  <c r="AC40" i="6" s="1"/>
  <c r="AB166" i="6"/>
  <c r="AC166" i="6" s="1"/>
  <c r="AB161" i="6"/>
  <c r="AC161" i="6" s="1"/>
  <c r="AB154" i="6"/>
  <c r="AC154" i="6" s="1"/>
  <c r="I68" i="6"/>
  <c r="AB69" i="6"/>
  <c r="AC69" i="6" s="1"/>
  <c r="AB49" i="6"/>
  <c r="AC49" i="6" s="1"/>
  <c r="AB14" i="6"/>
  <c r="AC14" i="6" s="1"/>
  <c r="AB169" i="6"/>
  <c r="AC169" i="6" s="1"/>
  <c r="AB81" i="6"/>
  <c r="AC81" i="6" s="1"/>
  <c r="AB38" i="6"/>
  <c r="AC38" i="6" s="1"/>
  <c r="AB125" i="6"/>
  <c r="AC125" i="6" s="1"/>
  <c r="AB106" i="6"/>
  <c r="AC106" i="6" s="1"/>
  <c r="AB80" i="6"/>
  <c r="AC80" i="6" s="1"/>
  <c r="AB46" i="6"/>
  <c r="AC46" i="6" s="1"/>
  <c r="AB17" i="6"/>
  <c r="AC17" i="6" s="1"/>
  <c r="AB45" i="6"/>
  <c r="AC45" i="6" s="1"/>
  <c r="AB94" i="6"/>
  <c r="AC94" i="6" s="1"/>
  <c r="AB100" i="6"/>
  <c r="AC100" i="6" s="1"/>
  <c r="I144" i="6"/>
  <c r="AB145" i="6"/>
  <c r="H147" i="6"/>
  <c r="I165" i="6"/>
  <c r="I164" i="6" s="1"/>
  <c r="AB44" i="6"/>
  <c r="AC44" i="6" s="1"/>
  <c r="AC138" i="6"/>
  <c r="AB122" i="6"/>
  <c r="AC122" i="6" s="1"/>
  <c r="AB102" i="6"/>
  <c r="AC102" i="6" s="1"/>
  <c r="J33" i="32" s="1"/>
  <c r="AB57" i="6"/>
  <c r="AC57" i="6" s="1"/>
  <c r="AB79" i="6"/>
  <c r="AC79" i="6" s="1"/>
  <c r="I26" i="32" s="1"/>
  <c r="AB22" i="6"/>
  <c r="AC22" i="6" s="1"/>
  <c r="AB158" i="6"/>
  <c r="AC158" i="6" s="1"/>
  <c r="AB155" i="6"/>
  <c r="AC155" i="6" s="1"/>
  <c r="AB160" i="6"/>
  <c r="AC160" i="6" s="1"/>
  <c r="I111" i="6"/>
  <c r="I63" i="6"/>
  <c r="AB71" i="6"/>
  <c r="AC71" i="6" s="1"/>
  <c r="AB60" i="6"/>
  <c r="AC60" i="6" s="1"/>
  <c r="I117" i="6"/>
  <c r="I98" i="6"/>
  <c r="I92" i="6"/>
  <c r="R10" i="6"/>
  <c r="R171" i="6" s="1"/>
  <c r="AB56" i="6"/>
  <c r="AC56" i="6" s="1"/>
  <c r="I114" i="6"/>
  <c r="I86" i="6"/>
  <c r="I103" i="6"/>
  <c r="I47" i="6"/>
  <c r="I35" i="6"/>
  <c r="AB39" i="6"/>
  <c r="AC39" i="6" s="1"/>
  <c r="AB72" i="6"/>
  <c r="AC72" i="6" s="1"/>
  <c r="AB76" i="6"/>
  <c r="AC76" i="6" s="1"/>
  <c r="I15" i="6"/>
  <c r="I41" i="6"/>
  <c r="AB143" i="6"/>
  <c r="AC143" i="6" s="1"/>
  <c r="J55" i="32" s="1"/>
  <c r="AB118" i="6"/>
  <c r="AC118" i="6" s="1"/>
  <c r="AB107" i="6"/>
  <c r="AC107" i="6" s="1"/>
  <c r="AB97" i="6"/>
  <c r="AC97" i="6" s="1"/>
  <c r="AB87" i="6"/>
  <c r="AC87" i="6" s="1"/>
  <c r="AB77" i="6"/>
  <c r="AC77" i="6" s="1"/>
  <c r="AB123" i="6"/>
  <c r="AC123" i="6" s="1"/>
  <c r="AB113" i="6"/>
  <c r="AB99" i="6"/>
  <c r="AC99" i="6" s="1"/>
  <c r="AB82" i="6"/>
  <c r="AC82" i="6" s="1"/>
  <c r="AB73" i="6"/>
  <c r="AC73" i="6" s="1"/>
  <c r="AB52" i="6"/>
  <c r="AC52" i="6" s="1"/>
  <c r="AB37" i="6"/>
  <c r="AC37" i="6" s="1"/>
  <c r="I130" i="6"/>
  <c r="I129" i="6" s="1"/>
  <c r="AB112" i="6"/>
  <c r="AB48" i="6"/>
  <c r="AC48" i="6" s="1"/>
  <c r="AB88" i="6"/>
  <c r="AC88" i="6" s="1"/>
  <c r="AB140" i="6"/>
  <c r="AC140" i="6" s="1"/>
  <c r="T46" i="30" s="1"/>
  <c r="AB119" i="6"/>
  <c r="AC119" i="6" s="1"/>
  <c r="J40" i="32" s="1"/>
  <c r="AB104" i="6"/>
  <c r="AC104" i="6" s="1"/>
  <c r="AB78" i="6"/>
  <c r="AC78" i="6" s="1"/>
  <c r="AB67" i="6"/>
  <c r="AC67" i="6" s="1"/>
  <c r="AB16" i="6"/>
  <c r="AC16" i="6" s="1"/>
  <c r="I74" i="6"/>
  <c r="AB13" i="6"/>
  <c r="AC13" i="6" s="1"/>
  <c r="AB66" i="6"/>
  <c r="AC66" i="6" s="1"/>
  <c r="AC133" i="6"/>
  <c r="AB121" i="6"/>
  <c r="AC121" i="6" s="1"/>
  <c r="AB110" i="6"/>
  <c r="AC110" i="6" s="1"/>
  <c r="AB101" i="6"/>
  <c r="AC101" i="6" s="1"/>
  <c r="AB90" i="6"/>
  <c r="AC90" i="6" s="1"/>
  <c r="AB51" i="6"/>
  <c r="AC51" i="6" s="1"/>
  <c r="AB23" i="6"/>
  <c r="AC23" i="6" s="1"/>
  <c r="AB12" i="6"/>
  <c r="AC12" i="6" s="1"/>
  <c r="I11" i="6"/>
  <c r="U10" i="6"/>
  <c r="U171" i="6" s="1"/>
  <c r="H91" i="6"/>
  <c r="Q10" i="6"/>
  <c r="Q171" i="6" s="1"/>
  <c r="P10" i="6"/>
  <c r="P171" i="6" s="1"/>
  <c r="E10" i="6"/>
  <c r="I147" i="6"/>
  <c r="G10" i="6"/>
  <c r="H129" i="6"/>
  <c r="S43" i="30" s="1"/>
  <c r="D10" i="6"/>
  <c r="H34" i="6"/>
  <c r="AA36" i="30"/>
  <c r="X36" i="30"/>
  <c r="U36" i="30"/>
  <c r="R36" i="30"/>
  <c r="O36" i="30"/>
  <c r="I37" i="30"/>
  <c r="F37" i="30"/>
  <c r="O37" i="30"/>
  <c r="R37" i="30"/>
  <c r="U37" i="30"/>
  <c r="X37" i="30"/>
  <c r="AA37" i="30"/>
  <c r="C35" i="1"/>
  <c r="E36" i="30" s="1"/>
  <c r="D34" i="4" l="1"/>
  <c r="AC112" i="6"/>
  <c r="J35" i="32"/>
  <c r="AC93" i="6"/>
  <c r="J29" i="32"/>
  <c r="AC113" i="6"/>
  <c r="J36" i="32"/>
  <c r="AC65" i="6"/>
  <c r="J21" i="32"/>
  <c r="K43" i="30"/>
  <c r="J18" i="32"/>
  <c r="AC95" i="6"/>
  <c r="J30" i="32" s="1"/>
  <c r="N43" i="30"/>
  <c r="AD36" i="30"/>
  <c r="AB144" i="6"/>
  <c r="AC145" i="6"/>
  <c r="AC144" i="6" s="1"/>
  <c r="I91" i="6"/>
  <c r="H53" i="32" l="1"/>
  <c r="H55" i="32"/>
  <c r="H52" i="32"/>
  <c r="H83" i="32"/>
  <c r="J80" i="32"/>
  <c r="H80" i="32" s="1"/>
  <c r="H61" i="32"/>
  <c r="H57" i="32"/>
  <c r="H56" i="32" s="1"/>
  <c r="H54" i="32"/>
  <c r="H49" i="32"/>
  <c r="H44" i="32"/>
  <c r="H40" i="32"/>
  <c r="H38" i="32"/>
  <c r="H36" i="32"/>
  <c r="H35" i="32"/>
  <c r="H33" i="32"/>
  <c r="H30" i="32"/>
  <c r="H23" i="32"/>
  <c r="H21" i="32"/>
  <c r="H79" i="32" l="1"/>
  <c r="H78" i="32" s="1"/>
  <c r="K77" i="32" s="1"/>
  <c r="H60" i="32" l="1"/>
  <c r="H59" i="32" s="1"/>
  <c r="H51" i="32"/>
  <c r="H39" i="32"/>
  <c r="H37" i="32"/>
  <c r="H34" i="32"/>
  <c r="H32" i="32"/>
  <c r="H22" i="32"/>
  <c r="H20" i="32"/>
  <c r="E15" i="32" l="1"/>
  <c r="E64" i="32"/>
  <c r="E77" i="32"/>
  <c r="D13" i="32" l="1"/>
  <c r="C11" i="32" s="1"/>
  <c r="C87" i="32" s="1"/>
  <c r="N21" i="6" l="1"/>
  <c r="V21" i="6"/>
  <c r="T21" i="6" l="1"/>
  <c r="J21" i="6"/>
  <c r="I21" i="6" l="1"/>
  <c r="I18" i="6" l="1"/>
  <c r="AB21" i="6"/>
  <c r="AA168" i="6" l="1"/>
  <c r="AA167" i="6" s="1"/>
  <c r="AA165" i="6"/>
  <c r="AA164" i="6" s="1"/>
  <c r="AA162" i="6"/>
  <c r="AA159" i="6"/>
  <c r="AA156" i="6"/>
  <c r="AA153" i="6"/>
  <c r="AA151" i="6"/>
  <c r="AA148" i="6"/>
  <c r="AA139" i="6"/>
  <c r="AA130" i="6"/>
  <c r="AA127" i="6"/>
  <c r="AA126" i="6" s="1"/>
  <c r="AA117" i="6"/>
  <c r="AA114" i="6"/>
  <c r="AA111" i="6"/>
  <c r="AA103" i="6"/>
  <c r="AA98" i="6"/>
  <c r="AA92" i="6"/>
  <c r="AA86" i="6"/>
  <c r="AA84" i="6"/>
  <c r="AA74" i="6"/>
  <c r="AA70" i="6"/>
  <c r="AA68" i="6"/>
  <c r="AA63" i="6"/>
  <c r="AA55" i="6"/>
  <c r="AA47" i="6"/>
  <c r="AA41" i="6"/>
  <c r="AA35" i="6"/>
  <c r="AA32" i="6"/>
  <c r="AA30" i="6"/>
  <c r="AA29" i="6"/>
  <c r="AA28" i="6"/>
  <c r="AA26" i="6"/>
  <c r="AA25" i="6"/>
  <c r="AA18" i="6"/>
  <c r="AA15" i="6"/>
  <c r="AA11" i="6"/>
  <c r="AA24" i="6" l="1"/>
  <c r="AA34" i="6"/>
  <c r="K46" i="30" s="1"/>
  <c r="AA91" i="6"/>
  <c r="N46" i="30" s="1"/>
  <c r="AA27" i="6"/>
  <c r="AA10" i="6" s="1"/>
  <c r="AA147" i="6"/>
  <c r="AA129" i="6"/>
  <c r="AA171" i="6" l="1"/>
  <c r="C11" i="6"/>
  <c r="C15" i="6"/>
  <c r="H25" i="6"/>
  <c r="C26" i="6"/>
  <c r="H26" i="6" s="1"/>
  <c r="H24" i="6" l="1"/>
  <c r="C24" i="6"/>
  <c r="C28" i="6" l="1"/>
  <c r="H28" i="6" s="1"/>
  <c r="Y28" i="6" l="1"/>
  <c r="Z28" i="6"/>
  <c r="L28" i="6"/>
  <c r="M28" i="6"/>
  <c r="O28" i="6"/>
  <c r="N28" i="6" s="1"/>
  <c r="K28" i="6"/>
  <c r="J28" i="6" l="1"/>
  <c r="U25" i="30"/>
  <c r="AA43" i="30"/>
  <c r="X43" i="30"/>
  <c r="O43" i="30"/>
  <c r="F43" i="30"/>
  <c r="AA27" i="30"/>
  <c r="AA25" i="30"/>
  <c r="X27" i="30"/>
  <c r="X25" i="30"/>
  <c r="U27" i="30"/>
  <c r="R27" i="30"/>
  <c r="R25" i="30"/>
  <c r="O25" i="30"/>
  <c r="O27" i="30"/>
  <c r="L27" i="30"/>
  <c r="I27" i="30"/>
  <c r="F27" i="30"/>
  <c r="F25" i="30"/>
  <c r="I28" i="6" l="1"/>
  <c r="AD27" i="30"/>
  <c r="N62" i="6"/>
  <c r="I62" i="6" l="1"/>
  <c r="I55" i="6"/>
  <c r="I34" i="6" s="1"/>
  <c r="AB62" i="6"/>
  <c r="AC62" i="6" s="1"/>
  <c r="K156" i="6"/>
  <c r="L156" i="6"/>
  <c r="M156" i="6"/>
  <c r="N156" i="6"/>
  <c r="O156" i="6"/>
  <c r="V156" i="6"/>
  <c r="W156" i="6"/>
  <c r="X156" i="6"/>
  <c r="Y156" i="6"/>
  <c r="Z156" i="6"/>
  <c r="AB156" i="6"/>
  <c r="C156" i="6"/>
  <c r="D158" i="10" l="1"/>
  <c r="E27" i="30"/>
  <c r="E25" i="30"/>
  <c r="D23" i="4"/>
  <c r="C22" i="1"/>
  <c r="L25" i="30" l="1"/>
  <c r="C37" i="1"/>
  <c r="C33" i="1"/>
  <c r="E37" i="30" l="1"/>
  <c r="C32" i="1"/>
  <c r="I25" i="30"/>
  <c r="AA46" i="30"/>
  <c r="X46" i="30"/>
  <c r="U46" i="30"/>
  <c r="R46" i="30"/>
  <c r="O46" i="30"/>
  <c r="L46" i="30"/>
  <c r="I46" i="30"/>
  <c r="F46" i="30"/>
  <c r="F16" i="30"/>
  <c r="AC51" i="30"/>
  <c r="AB50" i="30"/>
  <c r="Z51" i="30"/>
  <c r="Y50" i="30"/>
  <c r="Q51" i="30"/>
  <c r="P50" i="30"/>
  <c r="AA35" i="30"/>
  <c r="AA32" i="30"/>
  <c r="AA31" i="30"/>
  <c r="AA26" i="30"/>
  <c r="AA23" i="30"/>
  <c r="AA20" i="30"/>
  <c r="AA16" i="30"/>
  <c r="X35" i="30"/>
  <c r="X32" i="30"/>
  <c r="X31" i="30"/>
  <c r="X26" i="30"/>
  <c r="X23" i="30"/>
  <c r="X20" i="30"/>
  <c r="X16" i="30"/>
  <c r="U32" i="30"/>
  <c r="U31" i="30"/>
  <c r="U26" i="30"/>
  <c r="U23" i="30"/>
  <c r="U20" i="30"/>
  <c r="U16" i="30"/>
  <c r="R35" i="30"/>
  <c r="R32" i="30"/>
  <c r="R31" i="30"/>
  <c r="R26" i="30"/>
  <c r="R23" i="30"/>
  <c r="R20" i="30"/>
  <c r="R16" i="30"/>
  <c r="O35" i="30"/>
  <c r="O32" i="30"/>
  <c r="O31" i="30"/>
  <c r="O26" i="30"/>
  <c r="O23" i="30"/>
  <c r="O20" i="30"/>
  <c r="O16" i="30"/>
  <c r="L32" i="30"/>
  <c r="L31" i="30"/>
  <c r="L23" i="30"/>
  <c r="L16" i="30"/>
  <c r="I32" i="30"/>
  <c r="I31" i="30"/>
  <c r="I23" i="30"/>
  <c r="I16" i="30"/>
  <c r="F32" i="30"/>
  <c r="F31" i="30"/>
  <c r="F26" i="30"/>
  <c r="F23" i="30"/>
  <c r="F20" i="30"/>
  <c r="E46" i="30"/>
  <c r="E45" i="30"/>
  <c r="E43" i="30"/>
  <c r="E35" i="30"/>
  <c r="E32" i="30"/>
  <c r="E31" i="30"/>
  <c r="E26" i="30"/>
  <c r="E23" i="30"/>
  <c r="E20" i="30"/>
  <c r="E16" i="30"/>
  <c r="D13" i="30" s="1"/>
  <c r="AD25" i="30" l="1"/>
  <c r="AD16" i="30"/>
  <c r="D33" i="30"/>
  <c r="L37" i="30"/>
  <c r="X49" i="30"/>
  <c r="AD32" i="30"/>
  <c r="AD31" i="30"/>
  <c r="O49" i="30"/>
  <c r="AD46" i="30"/>
  <c r="D17" i="30"/>
  <c r="AA49" i="30"/>
  <c r="AD23" i="30"/>
  <c r="D41" i="30"/>
  <c r="C39" i="30" s="1"/>
  <c r="AB168" i="6"/>
  <c r="AB167" i="6" s="1"/>
  <c r="Z168" i="6"/>
  <c r="Z167" i="6" s="1"/>
  <c r="Y168" i="6"/>
  <c r="Y167" i="6" s="1"/>
  <c r="X168" i="6"/>
  <c r="X167" i="6" s="1"/>
  <c r="W168" i="6"/>
  <c r="W167" i="6" s="1"/>
  <c r="V168" i="6"/>
  <c r="V167" i="6" s="1"/>
  <c r="AB165" i="6"/>
  <c r="AB164" i="6" s="1"/>
  <c r="Z165" i="6"/>
  <c r="Z164" i="6" s="1"/>
  <c r="Y165" i="6"/>
  <c r="Y164" i="6" s="1"/>
  <c r="X165" i="6"/>
  <c r="X164" i="6" s="1"/>
  <c r="W165" i="6"/>
  <c r="W164" i="6" s="1"/>
  <c r="V165" i="6"/>
  <c r="V164" i="6" s="1"/>
  <c r="AB162" i="6"/>
  <c r="Z162" i="6"/>
  <c r="Y162" i="6"/>
  <c r="X162" i="6"/>
  <c r="W162" i="6"/>
  <c r="V162" i="6"/>
  <c r="AB159" i="6"/>
  <c r="Z159" i="6"/>
  <c r="Y159" i="6"/>
  <c r="X159" i="6"/>
  <c r="W159" i="6"/>
  <c r="V159" i="6"/>
  <c r="AB153" i="6"/>
  <c r="Z153" i="6"/>
  <c r="Y153" i="6"/>
  <c r="X153" i="6"/>
  <c r="W153" i="6"/>
  <c r="V153" i="6"/>
  <c r="AB151" i="6"/>
  <c r="Z151" i="6"/>
  <c r="Y151" i="6"/>
  <c r="X151" i="6"/>
  <c r="W151" i="6"/>
  <c r="V151" i="6"/>
  <c r="AB148" i="6"/>
  <c r="Z148" i="6"/>
  <c r="Y148" i="6"/>
  <c r="X148" i="6"/>
  <c r="W148" i="6"/>
  <c r="V148" i="6"/>
  <c r="AB139" i="6"/>
  <c r="Z139" i="6"/>
  <c r="Y139" i="6"/>
  <c r="X139" i="6"/>
  <c r="W139" i="6"/>
  <c r="V139" i="6"/>
  <c r="AB130" i="6"/>
  <c r="Z130" i="6"/>
  <c r="Y130" i="6"/>
  <c r="X130" i="6"/>
  <c r="W130" i="6"/>
  <c r="V130" i="6"/>
  <c r="AB127" i="6"/>
  <c r="AB126" i="6" s="1"/>
  <c r="Z127" i="6"/>
  <c r="Z126" i="6" s="1"/>
  <c r="Y127" i="6"/>
  <c r="Y126" i="6" s="1"/>
  <c r="X127" i="6"/>
  <c r="X126" i="6" s="1"/>
  <c r="W127" i="6"/>
  <c r="W126" i="6" s="1"/>
  <c r="V127" i="6"/>
  <c r="V126" i="6" s="1"/>
  <c r="AB117" i="6"/>
  <c r="Z117" i="6"/>
  <c r="Y117" i="6"/>
  <c r="X117" i="6"/>
  <c r="W117" i="6"/>
  <c r="V117" i="6"/>
  <c r="AB114" i="6"/>
  <c r="Z114" i="6"/>
  <c r="Y114" i="6"/>
  <c r="X114" i="6"/>
  <c r="W114" i="6"/>
  <c r="V114" i="6"/>
  <c r="AB111" i="6"/>
  <c r="Z111" i="6"/>
  <c r="Y111" i="6"/>
  <c r="X111" i="6"/>
  <c r="W111" i="6"/>
  <c r="V111" i="6"/>
  <c r="AB103" i="6"/>
  <c r="Z103" i="6"/>
  <c r="Y103" i="6"/>
  <c r="X103" i="6"/>
  <c r="W103" i="6"/>
  <c r="V103" i="6"/>
  <c r="AB98" i="6"/>
  <c r="Z98" i="6"/>
  <c r="Y98" i="6"/>
  <c r="X98" i="6"/>
  <c r="W98" i="6"/>
  <c r="V98" i="6"/>
  <c r="AB92" i="6"/>
  <c r="Z92" i="6"/>
  <c r="Y92" i="6"/>
  <c r="X92" i="6"/>
  <c r="W92" i="6"/>
  <c r="V92" i="6"/>
  <c r="AB86" i="6"/>
  <c r="Z86" i="6"/>
  <c r="Y86" i="6"/>
  <c r="X86" i="6"/>
  <c r="W86" i="6"/>
  <c r="V86" i="6"/>
  <c r="AB84" i="6"/>
  <c r="Z84" i="6"/>
  <c r="Y84" i="6"/>
  <c r="X84" i="6"/>
  <c r="W84" i="6"/>
  <c r="V84" i="6"/>
  <c r="AB74" i="6"/>
  <c r="Z74" i="6"/>
  <c r="Y74" i="6"/>
  <c r="X74" i="6"/>
  <c r="W74" i="6"/>
  <c r="V74" i="6"/>
  <c r="AB70" i="6"/>
  <c r="Z70" i="6"/>
  <c r="Y70" i="6"/>
  <c r="X70" i="6"/>
  <c r="W70" i="6"/>
  <c r="V70" i="6"/>
  <c r="AB68" i="6"/>
  <c r="Z68" i="6"/>
  <c r="Y68" i="6"/>
  <c r="X68" i="6"/>
  <c r="W68" i="6"/>
  <c r="V68" i="6"/>
  <c r="AB63" i="6"/>
  <c r="Z63" i="6"/>
  <c r="Y63" i="6"/>
  <c r="X63" i="6"/>
  <c r="W63" i="6"/>
  <c r="V63" i="6"/>
  <c r="AB55" i="6"/>
  <c r="Z55" i="6"/>
  <c r="Y55" i="6"/>
  <c r="X55" i="6"/>
  <c r="W55" i="6"/>
  <c r="V55" i="6"/>
  <c r="AB47" i="6"/>
  <c r="Z47" i="6"/>
  <c r="Y47" i="6"/>
  <c r="X47" i="6"/>
  <c r="W47" i="6"/>
  <c r="V47" i="6"/>
  <c r="AB41" i="6"/>
  <c r="Z41" i="6"/>
  <c r="Y41" i="6"/>
  <c r="X41" i="6"/>
  <c r="W41" i="6"/>
  <c r="V41" i="6"/>
  <c r="AB35" i="6"/>
  <c r="Z35" i="6"/>
  <c r="Y35" i="6"/>
  <c r="X35" i="6"/>
  <c r="W35" i="6"/>
  <c r="V35" i="6"/>
  <c r="AB32" i="6"/>
  <c r="Z32" i="6"/>
  <c r="Y32" i="6"/>
  <c r="X32" i="6"/>
  <c r="W32" i="6"/>
  <c r="V32" i="6"/>
  <c r="Z30" i="6"/>
  <c r="Y30" i="6"/>
  <c r="Z29" i="6"/>
  <c r="Y29" i="6"/>
  <c r="Z26" i="6"/>
  <c r="Y26" i="6"/>
  <c r="Z25" i="6"/>
  <c r="Y25" i="6"/>
  <c r="Z18" i="6"/>
  <c r="Y18" i="6"/>
  <c r="AB15" i="6"/>
  <c r="Z15" i="6"/>
  <c r="Y15" i="6"/>
  <c r="X15" i="6"/>
  <c r="W15" i="6"/>
  <c r="V15" i="6"/>
  <c r="AB11" i="6"/>
  <c r="Z11" i="6"/>
  <c r="Y11" i="6"/>
  <c r="X11" i="6"/>
  <c r="W11" i="6"/>
  <c r="V11" i="6"/>
  <c r="O168" i="6"/>
  <c r="O167" i="6" s="1"/>
  <c r="N168" i="6"/>
  <c r="N167" i="6" s="1"/>
  <c r="M168" i="6"/>
  <c r="M167" i="6" s="1"/>
  <c r="L168" i="6"/>
  <c r="L167" i="6" s="1"/>
  <c r="K168" i="6"/>
  <c r="K167" i="6" s="1"/>
  <c r="O165" i="6"/>
  <c r="O164" i="6" s="1"/>
  <c r="N165" i="6"/>
  <c r="N164" i="6" s="1"/>
  <c r="M165" i="6"/>
  <c r="M164" i="6" s="1"/>
  <c r="L165" i="6"/>
  <c r="L164" i="6" s="1"/>
  <c r="K165" i="6"/>
  <c r="K164" i="6" s="1"/>
  <c r="O162" i="6"/>
  <c r="N162" i="6"/>
  <c r="M162" i="6"/>
  <c r="L162" i="6"/>
  <c r="K162" i="6"/>
  <c r="O159" i="6"/>
  <c r="N159" i="6"/>
  <c r="M159" i="6"/>
  <c r="L159" i="6"/>
  <c r="K159" i="6"/>
  <c r="O153" i="6"/>
  <c r="N153" i="6"/>
  <c r="M153" i="6"/>
  <c r="L153" i="6"/>
  <c r="K153" i="6"/>
  <c r="O151" i="6"/>
  <c r="N151" i="6"/>
  <c r="M151" i="6"/>
  <c r="L151" i="6"/>
  <c r="K151" i="6"/>
  <c r="O148" i="6"/>
  <c r="N148" i="6"/>
  <c r="M148" i="6"/>
  <c r="L148" i="6"/>
  <c r="K148" i="6"/>
  <c r="O139" i="6"/>
  <c r="N139" i="6"/>
  <c r="M139" i="6"/>
  <c r="L139" i="6"/>
  <c r="K139" i="6"/>
  <c r="O130" i="6"/>
  <c r="N130" i="6"/>
  <c r="M130" i="6"/>
  <c r="L130" i="6"/>
  <c r="K130" i="6"/>
  <c r="O127" i="6"/>
  <c r="O126" i="6" s="1"/>
  <c r="N127" i="6"/>
  <c r="N126" i="6" s="1"/>
  <c r="M127" i="6"/>
  <c r="M126" i="6" s="1"/>
  <c r="L127" i="6"/>
  <c r="L126" i="6" s="1"/>
  <c r="K127" i="6"/>
  <c r="K126" i="6" s="1"/>
  <c r="O117" i="6"/>
  <c r="N117" i="6"/>
  <c r="M117" i="6"/>
  <c r="L117" i="6"/>
  <c r="K117" i="6"/>
  <c r="O114" i="6"/>
  <c r="N114" i="6"/>
  <c r="M114" i="6"/>
  <c r="L114" i="6"/>
  <c r="K114" i="6"/>
  <c r="O111" i="6"/>
  <c r="N111" i="6"/>
  <c r="M111" i="6"/>
  <c r="L111" i="6"/>
  <c r="K111" i="6"/>
  <c r="O103" i="6"/>
  <c r="N103" i="6"/>
  <c r="M103" i="6"/>
  <c r="L103" i="6"/>
  <c r="K103" i="6"/>
  <c r="O98" i="6"/>
  <c r="N98" i="6"/>
  <c r="M98" i="6"/>
  <c r="L98" i="6"/>
  <c r="K98" i="6"/>
  <c r="O92" i="6"/>
  <c r="N92" i="6"/>
  <c r="M92" i="6"/>
  <c r="L92" i="6"/>
  <c r="K92" i="6"/>
  <c r="O86" i="6"/>
  <c r="N86" i="6"/>
  <c r="M86" i="6"/>
  <c r="L86" i="6"/>
  <c r="K86" i="6"/>
  <c r="O84" i="6"/>
  <c r="N84" i="6"/>
  <c r="M84" i="6"/>
  <c r="L84" i="6"/>
  <c r="K84" i="6"/>
  <c r="O74" i="6"/>
  <c r="N74" i="6"/>
  <c r="M74" i="6"/>
  <c r="L74" i="6"/>
  <c r="K74" i="6"/>
  <c r="O70" i="6"/>
  <c r="N70" i="6"/>
  <c r="M70" i="6"/>
  <c r="L70" i="6"/>
  <c r="K70" i="6"/>
  <c r="O68" i="6"/>
  <c r="N68" i="6"/>
  <c r="M68" i="6"/>
  <c r="L68" i="6"/>
  <c r="K68" i="6"/>
  <c r="O63" i="6"/>
  <c r="N63" i="6"/>
  <c r="M63" i="6"/>
  <c r="L63" i="6"/>
  <c r="K63" i="6"/>
  <c r="O55" i="6"/>
  <c r="N55" i="6"/>
  <c r="M55" i="6"/>
  <c r="L55" i="6"/>
  <c r="K55" i="6"/>
  <c r="O47" i="6"/>
  <c r="N47" i="6"/>
  <c r="M47" i="6"/>
  <c r="L47" i="6"/>
  <c r="K47" i="6"/>
  <c r="O41" i="6"/>
  <c r="N41" i="6"/>
  <c r="M41" i="6"/>
  <c r="L41" i="6"/>
  <c r="K41" i="6"/>
  <c r="O35" i="6"/>
  <c r="N35" i="6"/>
  <c r="M35" i="6"/>
  <c r="L35" i="6"/>
  <c r="K35" i="6"/>
  <c r="O32" i="6"/>
  <c r="N32" i="6"/>
  <c r="M32" i="6"/>
  <c r="L32" i="6"/>
  <c r="K32" i="6"/>
  <c r="O30" i="6"/>
  <c r="N30" i="6" s="1"/>
  <c r="M30" i="6"/>
  <c r="L30" i="6"/>
  <c r="K30" i="6"/>
  <c r="O29" i="6"/>
  <c r="N29" i="6" s="1"/>
  <c r="M29" i="6"/>
  <c r="L29" i="6"/>
  <c r="K29" i="6"/>
  <c r="O26" i="6"/>
  <c r="N26" i="6" s="1"/>
  <c r="M26" i="6"/>
  <c r="L26" i="6"/>
  <c r="K26" i="6"/>
  <c r="O25" i="6"/>
  <c r="N25" i="6" s="1"/>
  <c r="M25" i="6"/>
  <c r="L25" i="6"/>
  <c r="K25" i="6"/>
  <c r="N18" i="6"/>
  <c r="O18" i="6"/>
  <c r="M18" i="6"/>
  <c r="L18" i="6"/>
  <c r="K18" i="6"/>
  <c r="O15" i="6"/>
  <c r="N15" i="6"/>
  <c r="M15" i="6"/>
  <c r="L15" i="6"/>
  <c r="K15" i="6"/>
  <c r="O11" i="6"/>
  <c r="N11" i="6"/>
  <c r="M11" i="6"/>
  <c r="L11" i="6"/>
  <c r="K11" i="6"/>
  <c r="C168" i="6"/>
  <c r="C167" i="6" s="1"/>
  <c r="C165" i="6"/>
  <c r="C164" i="6" s="1"/>
  <c r="C162" i="6"/>
  <c r="C159" i="6"/>
  <c r="C153" i="6"/>
  <c r="C151" i="6"/>
  <c r="C148" i="6"/>
  <c r="C139" i="6"/>
  <c r="C130" i="6"/>
  <c r="C127" i="6"/>
  <c r="C126" i="6" s="1"/>
  <c r="C117" i="6"/>
  <c r="C114" i="6"/>
  <c r="C111" i="6"/>
  <c r="C103" i="6"/>
  <c r="C98" i="6"/>
  <c r="C92" i="6"/>
  <c r="C86" i="6"/>
  <c r="C84" i="6"/>
  <c r="C74" i="6"/>
  <c r="C70" i="6"/>
  <c r="C68" i="6"/>
  <c r="C63" i="6"/>
  <c r="C55" i="6"/>
  <c r="C47" i="6"/>
  <c r="C41" i="6"/>
  <c r="C35" i="6"/>
  <c r="C32" i="6"/>
  <c r="C30" i="6"/>
  <c r="H30" i="6" s="1"/>
  <c r="C29" i="6"/>
  <c r="H29" i="6" s="1"/>
  <c r="AD37" i="30" l="1"/>
  <c r="H27" i="6"/>
  <c r="J26" i="6"/>
  <c r="J25" i="6"/>
  <c r="O24" i="6"/>
  <c r="J29" i="6"/>
  <c r="J30" i="6"/>
  <c r="N24" i="6"/>
  <c r="M24" i="6"/>
  <c r="O27" i="6"/>
  <c r="L27" i="6"/>
  <c r="Z24" i="6"/>
  <c r="X147" i="6"/>
  <c r="Z27" i="6"/>
  <c r="M27" i="6"/>
  <c r="K129" i="6"/>
  <c r="L24" i="6"/>
  <c r="K147" i="6"/>
  <c r="O147" i="6"/>
  <c r="W129" i="6"/>
  <c r="AB129" i="6"/>
  <c r="T43" i="30" s="1"/>
  <c r="N27" i="6"/>
  <c r="O34" i="6"/>
  <c r="O129" i="6"/>
  <c r="Y24" i="6"/>
  <c r="Y27" i="6"/>
  <c r="Z34" i="6"/>
  <c r="X129" i="6"/>
  <c r="Z129" i="6"/>
  <c r="W147" i="6"/>
  <c r="AB147" i="6"/>
  <c r="Y147" i="6"/>
  <c r="Z147" i="6"/>
  <c r="N129" i="6"/>
  <c r="M129" i="6"/>
  <c r="L129" i="6"/>
  <c r="M34" i="6"/>
  <c r="N147" i="6"/>
  <c r="M147" i="6"/>
  <c r="L147" i="6"/>
  <c r="V129" i="6"/>
  <c r="C27" i="6"/>
  <c r="M91" i="6"/>
  <c r="V147" i="6"/>
  <c r="C129" i="6"/>
  <c r="C147" i="6"/>
  <c r="Z91" i="6"/>
  <c r="Y129" i="6"/>
  <c r="N91" i="6"/>
  <c r="K27" i="6"/>
  <c r="K34" i="6"/>
  <c r="AB91" i="6"/>
  <c r="AB34" i="6"/>
  <c r="Y91" i="6"/>
  <c r="Y34" i="6"/>
  <c r="X91" i="6"/>
  <c r="W91" i="6"/>
  <c r="W34" i="6"/>
  <c r="V91" i="6"/>
  <c r="V34" i="6"/>
  <c r="N34" i="6"/>
  <c r="L91" i="6"/>
  <c r="L34" i="6"/>
  <c r="K91" i="6"/>
  <c r="K24" i="6"/>
  <c r="X34" i="6"/>
  <c r="O91" i="6"/>
  <c r="C91" i="6"/>
  <c r="C34" i="6"/>
  <c r="C11" i="30"/>
  <c r="C48" i="30" s="1"/>
  <c r="N10" i="6" l="1"/>
  <c r="I25" i="6"/>
  <c r="I30" i="6"/>
  <c r="I26" i="6"/>
  <c r="I29" i="6"/>
  <c r="Y10" i="6"/>
  <c r="L10" i="6"/>
  <c r="O10" i="6"/>
  <c r="Z10" i="6"/>
  <c r="M10" i="6"/>
  <c r="K10" i="6"/>
  <c r="I24" i="6" l="1"/>
  <c r="I27" i="6"/>
  <c r="I10" i="6" l="1"/>
  <c r="I171" i="6"/>
  <c r="E15" i="12" s="1"/>
  <c r="D35" i="4" l="1"/>
  <c r="D155" i="10" l="1"/>
  <c r="D73" i="10" l="1"/>
  <c r="D44" i="4" l="1"/>
  <c r="C47" i="1"/>
  <c r="D30" i="4" l="1"/>
  <c r="C28" i="1"/>
  <c r="D43" i="4"/>
  <c r="D42" i="4" s="1"/>
  <c r="D41" i="4"/>
  <c r="D40" i="4" s="1"/>
  <c r="C45" i="1"/>
  <c r="T84" i="6" l="1"/>
  <c r="J84" i="6"/>
  <c r="D39" i="4"/>
  <c r="D37" i="4" s="1"/>
  <c r="C44" i="1"/>
  <c r="C42" i="1" s="1"/>
  <c r="J151" i="6"/>
  <c r="J153" i="6"/>
  <c r="J159" i="6"/>
  <c r="J168" i="6"/>
  <c r="J167" i="6" s="1"/>
  <c r="D14" i="4"/>
  <c r="D13" i="4" s="1"/>
  <c r="D12" i="4" s="1"/>
  <c r="D11" i="4" s="1"/>
  <c r="D18" i="4"/>
  <c r="D17" i="4" s="1"/>
  <c r="D21" i="4"/>
  <c r="D20" i="4" s="1"/>
  <c r="D24" i="4"/>
  <c r="D25" i="4"/>
  <c r="D29" i="4"/>
  <c r="D33" i="4"/>
  <c r="D32" i="4" s="1"/>
  <c r="C13" i="1"/>
  <c r="C12" i="1" s="1"/>
  <c r="C11" i="1" s="1"/>
  <c r="C17" i="1"/>
  <c r="C20" i="1"/>
  <c r="C27" i="1"/>
  <c r="C26" i="1" s="1"/>
  <c r="C31" i="1"/>
  <c r="J32" i="6"/>
  <c r="J68" i="6" l="1"/>
  <c r="J127" i="6"/>
  <c r="J126" i="6" s="1"/>
  <c r="D143" i="10"/>
  <c r="D88" i="10"/>
  <c r="D87" i="10"/>
  <c r="D72" i="10"/>
  <c r="J43" i="32"/>
  <c r="H43" i="32" s="1"/>
  <c r="D36" i="10"/>
  <c r="D128" i="10"/>
  <c r="D127" i="10" s="1"/>
  <c r="D126" i="10" s="1"/>
  <c r="I19" i="32"/>
  <c r="H19" i="32" s="1"/>
  <c r="D51" i="10"/>
  <c r="D100" i="10"/>
  <c r="D124" i="10"/>
  <c r="J165" i="6"/>
  <c r="J164" i="6" s="1"/>
  <c r="AC159" i="6"/>
  <c r="AC153" i="6"/>
  <c r="D145" i="10"/>
  <c r="D144" i="10" s="1"/>
  <c r="D142" i="10"/>
  <c r="D60" i="10"/>
  <c r="D110" i="10"/>
  <c r="D13" i="10"/>
  <c r="T114" i="6"/>
  <c r="J31" i="32"/>
  <c r="H31" i="32" s="1"/>
  <c r="J18" i="6"/>
  <c r="D58" i="10"/>
  <c r="D56" i="10"/>
  <c r="D109" i="10"/>
  <c r="T151" i="6"/>
  <c r="D122" i="10"/>
  <c r="D48" i="10"/>
  <c r="H26" i="32"/>
  <c r="J46" i="32"/>
  <c r="H46" i="32" s="1"/>
  <c r="J162" i="6"/>
  <c r="J156" i="6"/>
  <c r="J98" i="6"/>
  <c r="J15" i="6"/>
  <c r="T68" i="6"/>
  <c r="T162" i="6"/>
  <c r="T127" i="6"/>
  <c r="T126" i="6" s="1"/>
  <c r="T156" i="6"/>
  <c r="T168" i="6"/>
  <c r="T167" i="6" s="1"/>
  <c r="D22" i="4"/>
  <c r="D19" i="4" s="1"/>
  <c r="D16" i="4" s="1"/>
  <c r="V43" i="30"/>
  <c r="J27" i="6"/>
  <c r="J24" i="6"/>
  <c r="J41" i="6"/>
  <c r="J47" i="6"/>
  <c r="J86" i="6"/>
  <c r="J114" i="6"/>
  <c r="J130" i="6"/>
  <c r="T41" i="6"/>
  <c r="T47" i="6"/>
  <c r="T98" i="6"/>
  <c r="T15" i="6"/>
  <c r="T32" i="6"/>
  <c r="T35" i="6"/>
  <c r="T74" i="6"/>
  <c r="T86" i="6"/>
  <c r="T111" i="6"/>
  <c r="T139" i="6"/>
  <c r="T153" i="6"/>
  <c r="T159" i="6"/>
  <c r="T165" i="6"/>
  <c r="T164" i="6" s="1"/>
  <c r="D31" i="4"/>
  <c r="J70" i="6"/>
  <c r="T70" i="6"/>
  <c r="J139" i="6"/>
  <c r="J103" i="6"/>
  <c r="J117" i="6"/>
  <c r="J63" i="6"/>
  <c r="D28" i="4"/>
  <c r="D27" i="4" s="1"/>
  <c r="D26" i="4" s="1"/>
  <c r="D149" i="10"/>
  <c r="C19" i="1"/>
  <c r="C16" i="1" s="1"/>
  <c r="C15" i="1" s="1"/>
  <c r="J148" i="6"/>
  <c r="D161" i="10"/>
  <c r="J35" i="6"/>
  <c r="T117" i="6"/>
  <c r="T130" i="6"/>
  <c r="T92" i="6"/>
  <c r="T63" i="6"/>
  <c r="T103" i="6"/>
  <c r="AC84" i="6"/>
  <c r="D85" i="10"/>
  <c r="D84" i="10" s="1"/>
  <c r="D14" i="10"/>
  <c r="T148" i="6"/>
  <c r="T55" i="6"/>
  <c r="J55" i="6"/>
  <c r="T11" i="6"/>
  <c r="J111" i="6"/>
  <c r="J74" i="6"/>
  <c r="J92" i="6"/>
  <c r="J11" i="6"/>
  <c r="Z171" i="6"/>
  <c r="J147" i="6" l="1"/>
  <c r="D43" i="10"/>
  <c r="D135" i="10"/>
  <c r="J47" i="32"/>
  <c r="H47" i="32" s="1"/>
  <c r="H29" i="32"/>
  <c r="H28" i="32" s="1"/>
  <c r="H27" i="32" s="1"/>
  <c r="J25" i="32"/>
  <c r="J50" i="32"/>
  <c r="H50" i="32" s="1"/>
  <c r="J45" i="32"/>
  <c r="H45" i="32" s="1"/>
  <c r="J48" i="32"/>
  <c r="H48" i="32" s="1"/>
  <c r="S50" i="30"/>
  <c r="T147" i="6"/>
  <c r="T129" i="6"/>
  <c r="D157" i="10"/>
  <c r="D156" i="10" s="1"/>
  <c r="AC156" i="6"/>
  <c r="V50" i="30"/>
  <c r="U43" i="30"/>
  <c r="J10" i="6"/>
  <c r="J129" i="6"/>
  <c r="K20" i="30"/>
  <c r="AC111" i="6"/>
  <c r="D12" i="10"/>
  <c r="D11" i="10" s="1"/>
  <c r="AC168" i="6"/>
  <c r="AC167" i="6" s="1"/>
  <c r="D75" i="10"/>
  <c r="D138" i="10"/>
  <c r="D95" i="10"/>
  <c r="AC86" i="6"/>
  <c r="D132" i="10"/>
  <c r="D45" i="10"/>
  <c r="AC35" i="6"/>
  <c r="AC127" i="6"/>
  <c r="AC126" i="6" s="1"/>
  <c r="AC139" i="6"/>
  <c r="D169" i="10"/>
  <c r="D168" i="10" s="1"/>
  <c r="D167" i="10" s="1"/>
  <c r="D39" i="10"/>
  <c r="D102" i="10"/>
  <c r="D16" i="10"/>
  <c r="D108" i="10"/>
  <c r="D69" i="10"/>
  <c r="D68" i="10" s="1"/>
  <c r="D79" i="10"/>
  <c r="D94" i="10"/>
  <c r="D121" i="10"/>
  <c r="D136" i="10"/>
  <c r="M171" i="6"/>
  <c r="O171" i="6"/>
  <c r="L171" i="6"/>
  <c r="D133" i="10"/>
  <c r="AC68" i="6"/>
  <c r="D113" i="10"/>
  <c r="D141" i="10"/>
  <c r="D154" i="10"/>
  <c r="D153" i="10" s="1"/>
  <c r="D40" i="10"/>
  <c r="D82" i="10"/>
  <c r="D66" i="10"/>
  <c r="D54" i="10"/>
  <c r="D65" i="10"/>
  <c r="D71" i="10"/>
  <c r="D70" i="10" s="1"/>
  <c r="AC70" i="6"/>
  <c r="D52" i="10"/>
  <c r="D31" i="10"/>
  <c r="D44" i="10"/>
  <c r="D80" i="10"/>
  <c r="D90" i="10"/>
  <c r="D22" i="10"/>
  <c r="AC165" i="6"/>
  <c r="AC164" i="6" s="1"/>
  <c r="D166" i="10"/>
  <c r="D165" i="10" s="1"/>
  <c r="D164" i="10" s="1"/>
  <c r="D38" i="10"/>
  <c r="D163" i="10"/>
  <c r="D162" i="10" s="1"/>
  <c r="AC162" i="6"/>
  <c r="D140" i="10"/>
  <c r="D139" i="10" s="1"/>
  <c r="D62" i="10"/>
  <c r="D89" i="10"/>
  <c r="D116" i="10"/>
  <c r="D160" i="10"/>
  <c r="D159" i="10" s="1"/>
  <c r="K171" i="6"/>
  <c r="D61" i="10"/>
  <c r="N171" i="6"/>
  <c r="J91" i="6"/>
  <c r="D123" i="10"/>
  <c r="D93" i="10"/>
  <c r="D59" i="10"/>
  <c r="D112" i="10"/>
  <c r="D105" i="10"/>
  <c r="D57" i="10"/>
  <c r="AC32" i="6"/>
  <c r="D33" i="10"/>
  <c r="D32" i="10" s="1"/>
  <c r="J34" i="6"/>
  <c r="Y171" i="6"/>
  <c r="D15" i="4"/>
  <c r="D9" i="4" s="1"/>
  <c r="D46" i="4" s="1"/>
  <c r="C9" i="1"/>
  <c r="C51" i="1" s="1"/>
  <c r="D37" i="10"/>
  <c r="AC11" i="6"/>
  <c r="T91" i="6"/>
  <c r="AC55" i="6"/>
  <c r="T34" i="6"/>
  <c r="D106" i="10"/>
  <c r="G171" i="6"/>
  <c r="E13" i="12" s="1"/>
  <c r="D50" i="10"/>
  <c r="D171" i="6"/>
  <c r="E10" i="12" s="1"/>
  <c r="D23" i="10"/>
  <c r="D78" i="10"/>
  <c r="D137" i="10"/>
  <c r="D53" i="10"/>
  <c r="D115" i="10"/>
  <c r="AC114" i="6"/>
  <c r="D19" i="10"/>
  <c r="D46" i="10"/>
  <c r="D67" i="10"/>
  <c r="D76" i="10"/>
  <c r="AC74" i="6"/>
  <c r="D77" i="10"/>
  <c r="D107" i="10"/>
  <c r="D118" i="10"/>
  <c r="AC117" i="6"/>
  <c r="AC63" i="6"/>
  <c r="D64" i="10"/>
  <c r="D81" i="10"/>
  <c r="D83" i="10"/>
  <c r="D96" i="10"/>
  <c r="AC92" i="6"/>
  <c r="D97" i="10"/>
  <c r="D101" i="10"/>
  <c r="D104" i="10"/>
  <c r="AC103" i="6"/>
  <c r="D120" i="10"/>
  <c r="D131" i="10"/>
  <c r="AC130" i="6"/>
  <c r="D150" i="10"/>
  <c r="D148" i="10" s="1"/>
  <c r="AC148" i="6"/>
  <c r="D17" i="10"/>
  <c r="AC15" i="6"/>
  <c r="AC41" i="6"/>
  <c r="D42" i="10"/>
  <c r="AC98" i="6"/>
  <c r="D99" i="10"/>
  <c r="D49" i="10"/>
  <c r="AC47" i="6"/>
  <c r="D119" i="10"/>
  <c r="D125" i="10"/>
  <c r="AC151" i="6"/>
  <c r="D152" i="10"/>
  <c r="D151" i="10" s="1"/>
  <c r="D134" i="10"/>
  <c r="F171" i="6"/>
  <c r="E12" i="12" s="1"/>
  <c r="H42" i="32" l="1"/>
  <c r="H41" i="32" s="1"/>
  <c r="I43" i="30"/>
  <c r="H18" i="32"/>
  <c r="H17" i="32" s="1"/>
  <c r="I89" i="32"/>
  <c r="K89" i="32" s="1"/>
  <c r="H25" i="32"/>
  <c r="H24" i="32" s="1"/>
  <c r="J90" i="32"/>
  <c r="K90" i="32" s="1"/>
  <c r="D15" i="10"/>
  <c r="E171" i="6"/>
  <c r="AC129" i="6"/>
  <c r="D35" i="10"/>
  <c r="D114" i="10"/>
  <c r="D111" i="10"/>
  <c r="D55" i="10"/>
  <c r="D86" i="10"/>
  <c r="D98" i="10"/>
  <c r="J171" i="6"/>
  <c r="D103" i="10"/>
  <c r="AC34" i="6"/>
  <c r="D47" i="10"/>
  <c r="D41" i="10"/>
  <c r="D63" i="10"/>
  <c r="D130" i="10"/>
  <c r="D129" i="10" s="1"/>
  <c r="AC91" i="6"/>
  <c r="D92" i="10"/>
  <c r="D117" i="10"/>
  <c r="D74" i="10"/>
  <c r="AC147" i="6"/>
  <c r="D147" i="10"/>
  <c r="L26" i="30" l="1"/>
  <c r="I26" i="30" s="1"/>
  <c r="AD26" i="30" s="1"/>
  <c r="E11" i="12"/>
  <c r="K91" i="32"/>
  <c r="H16" i="32"/>
  <c r="M50" i="30"/>
  <c r="L20" i="30"/>
  <c r="R43" i="30"/>
  <c r="W51" i="30"/>
  <c r="D34" i="10"/>
  <c r="D91" i="10"/>
  <c r="H88" i="32" l="1"/>
  <c r="K15" i="32"/>
  <c r="K88" i="32" s="1"/>
  <c r="U35" i="30"/>
  <c r="T51" i="30"/>
  <c r="R49" i="30"/>
  <c r="L43" i="30"/>
  <c r="AD43" i="30" l="1"/>
  <c r="U49" i="30"/>
  <c r="N51" i="30" l="1"/>
  <c r="L35" i="30"/>
  <c r="L49" i="30" l="1"/>
  <c r="J50" i="30"/>
  <c r="I20" i="30"/>
  <c r="AD20" i="30" l="1"/>
  <c r="H21" i="6"/>
  <c r="H18" i="6" s="1"/>
  <c r="H10" i="6" s="1"/>
  <c r="H171" i="6" s="1"/>
  <c r="C18" i="6"/>
  <c r="C10" i="6" s="1"/>
  <c r="C171" i="6" s="1"/>
  <c r="AC21" i="6" l="1"/>
  <c r="E9" i="12"/>
  <c r="E14" i="12" s="1"/>
  <c r="D21" i="10" l="1"/>
  <c r="G50" i="30" l="1"/>
  <c r="AD50" i="30" s="1"/>
  <c r="X30" i="6" l="1"/>
  <c r="X29" i="6"/>
  <c r="X26" i="6"/>
  <c r="X25" i="6"/>
  <c r="X18" i="6"/>
  <c r="X28" i="6"/>
  <c r="W28" i="6"/>
  <c r="W30" i="6"/>
  <c r="W29" i="6"/>
  <c r="W25" i="6"/>
  <c r="W26" i="6"/>
  <c r="W18" i="6"/>
  <c r="V20" i="6"/>
  <c r="V18" i="6" s="1"/>
  <c r="V30" i="6" l="1"/>
  <c r="X27" i="6"/>
  <c r="W24" i="6"/>
  <c r="V25" i="6"/>
  <c r="T25" i="6" s="1"/>
  <c r="V28" i="6"/>
  <c r="V29" i="6"/>
  <c r="V26" i="6"/>
  <c r="T26" i="6" s="1"/>
  <c r="X24" i="6"/>
  <c r="X10" i="6" s="1"/>
  <c r="X171" i="6" s="1"/>
  <c r="T28" i="6"/>
  <c r="AB28" i="6" s="1"/>
  <c r="T29" i="6"/>
  <c r="T30" i="6"/>
  <c r="T20" i="6"/>
  <c r="W27" i="6"/>
  <c r="W10" i="6" l="1"/>
  <c r="W171" i="6" s="1"/>
  <c r="AB26" i="6"/>
  <c r="AC26" i="6" s="1"/>
  <c r="D26" i="10" s="1"/>
  <c r="AB30" i="6"/>
  <c r="AC30" i="6" s="1"/>
  <c r="D30" i="10" s="1"/>
  <c r="V27" i="6"/>
  <c r="AB29" i="6"/>
  <c r="AC29" i="6" s="1"/>
  <c r="D29" i="10" s="1"/>
  <c r="V24" i="6"/>
  <c r="AB25" i="6"/>
  <c r="T24" i="6"/>
  <c r="AC28" i="6"/>
  <c r="T18" i="6"/>
  <c r="AB20" i="6"/>
  <c r="T27" i="6"/>
  <c r="AB27" i="6" l="1"/>
  <c r="V10" i="6"/>
  <c r="V171" i="6" s="1"/>
  <c r="T10" i="6"/>
  <c r="T171" i="6" s="1"/>
  <c r="AB24" i="6"/>
  <c r="AC25" i="6"/>
  <c r="AB18" i="6"/>
  <c r="AC20" i="6"/>
  <c r="D28" i="10"/>
  <c r="D27" i="10" s="1"/>
  <c r="AC27" i="6"/>
  <c r="AB10" i="6" l="1"/>
  <c r="AB171" i="6" s="1"/>
  <c r="AC24" i="6"/>
  <c r="D25" i="10"/>
  <c r="D24" i="10" s="1"/>
  <c r="E16" i="12"/>
  <c r="E17" i="12" s="1"/>
  <c r="E19" i="12" s="1"/>
  <c r="D20" i="10"/>
  <c r="D18" i="10" s="1"/>
  <c r="AC18" i="6"/>
  <c r="D10" i="10" l="1"/>
  <c r="D171" i="10" s="1"/>
  <c r="AC10" i="6"/>
  <c r="AC171" i="6" l="1"/>
  <c r="H51" i="30"/>
  <c r="F35" i="30"/>
  <c r="I35" i="30" l="1"/>
  <c r="I49" i="30" s="1"/>
  <c r="K51" i="30"/>
  <c r="AD51" i="30" s="1"/>
  <c r="AD52" i="30" s="1"/>
  <c r="F49" i="30"/>
  <c r="AD35" i="30" l="1"/>
  <c r="AD49" i="30" s="1"/>
</calcChain>
</file>

<file path=xl/sharedStrings.xml><?xml version="1.0" encoding="utf-8"?>
<sst xmlns="http://schemas.openxmlformats.org/spreadsheetml/2006/main" count="1126" uniqueCount="561">
  <si>
    <t>DESCRIPCIÓN</t>
  </si>
  <si>
    <t xml:space="preserve">INSTITUTO NACIONAL DE INNOVACIÓN Y TRANSFERENCIA EN TECNOLOGÍA AGROPECUARIA </t>
  </si>
  <si>
    <t>Alquiler de edificios e instalaciones</t>
  </si>
  <si>
    <t>JUSTIFICACIÓN DE INGRESOS</t>
  </si>
  <si>
    <t>JUSTIFICACIÓN</t>
  </si>
  <si>
    <t>Corresponde a los ingresos que el INTA percibe por la venta de productos agrícolas, bovinos, porcinos, equinos, plantas ornamentales, plantas in vitro y cualquier otro bien agrícola, forestal o pecuario que se producen en las Estaciones Experimentales.</t>
  </si>
  <si>
    <t>Se refiere a los ingresos que recibe el instituto por concepto de servicios de análisis de muestras en los tres laboratorios, certificados de uso conforme, diagnóstico de enfermedades, estudios de eficacia biológica, revisión de protocolos, diagnósticos microbiológicos de suelos, anotaciones marginales, levantamiento de suelos, capacidad de uso zonificación, asesorías, capacitación y entre otros.</t>
  </si>
  <si>
    <t>GESTIÓN INSTITUCIONAL</t>
  </si>
  <si>
    <t>INVESTIGACIÓN Y DESARROLLO TECNOLÓGICO</t>
  </si>
  <si>
    <t xml:space="preserve"> REMUNERACIONES BÁSICAS</t>
  </si>
  <si>
    <t>Restricción al ejercicio liberal de la profesión</t>
  </si>
  <si>
    <t xml:space="preserve"> CONTRIBUCIONES PATRONALES A FONDOS DE PENSIONES Y OTROS FONDOS DE CAPITALIZACIÓN </t>
  </si>
  <si>
    <t xml:space="preserve"> SERVICIOS BÁSICOS</t>
  </si>
  <si>
    <t xml:space="preserve">  SERVICIOS DE GESTIÓN Y APOYO</t>
  </si>
  <si>
    <t xml:space="preserve">  CAPACITACIÓN Y PROTOCOLO</t>
  </si>
  <si>
    <t xml:space="preserve">   MANTENIMIENTO Y REPARACIÓN</t>
  </si>
  <si>
    <t xml:space="preserve">  PRODUCTOS QUÍMICOS Y CONEXOS</t>
  </si>
  <si>
    <t xml:space="preserve">  Productos farmacéuticos y medicinales</t>
  </si>
  <si>
    <t xml:space="preserve">  BIENES PARA LA PRODUCCIÓN Y COMERCIALIZACIÓN</t>
  </si>
  <si>
    <t>Otros bienes para la producción y comercialización</t>
  </si>
  <si>
    <t xml:space="preserve">  ÚTILES MATERIALES Y SUMINISTROS</t>
  </si>
  <si>
    <t xml:space="preserve">  Útiles y materiales de oficina y computo</t>
  </si>
  <si>
    <t xml:space="preserve">  Útiles y materiales médicos, hospitalarios y de investigac.</t>
  </si>
  <si>
    <t xml:space="preserve">  Útiles y materiales de limpieza</t>
  </si>
  <si>
    <t xml:space="preserve">  Útiles y materiales de resguardo y seguridad</t>
  </si>
  <si>
    <t xml:space="preserve"> Útiles y materiales de cocina y comedor</t>
  </si>
  <si>
    <t>1.01.03</t>
  </si>
  <si>
    <t xml:space="preserve"> Alquiler de equipo de cómputo</t>
  </si>
  <si>
    <t>1.04.02</t>
  </si>
  <si>
    <t>Servicios Jurídicos</t>
  </si>
  <si>
    <t>1.99.03</t>
  </si>
  <si>
    <t>Gastos de oficinas en el exterior</t>
  </si>
  <si>
    <t>5.02.01</t>
  </si>
  <si>
    <t>Edificios</t>
  </si>
  <si>
    <t>5.02.02</t>
  </si>
  <si>
    <t>Vias de comunicación terrestre</t>
  </si>
  <si>
    <t>5.02.07</t>
  </si>
  <si>
    <t>Instalaciones</t>
  </si>
  <si>
    <t>SUMAS SIN ASIGNACION PRESUPUESTARIA</t>
  </si>
  <si>
    <t>9.02.02</t>
  </si>
  <si>
    <t>Sumas con destino específico sin asignación presupuestaria</t>
  </si>
  <si>
    <t xml:space="preserve">  Transferencias corrientes a Asociaciones </t>
  </si>
  <si>
    <t xml:space="preserve">Monto Solicitado Frutales </t>
  </si>
  <si>
    <t>Monto Solicitado Hortalizas</t>
  </si>
  <si>
    <t>Monto Solicitado Raices y Tuberculos</t>
  </si>
  <si>
    <t>Cumplimiento de la legislación vigente</t>
  </si>
  <si>
    <t>Provisión de recursos para cubrir gastos por atraso en el pago de obligaciones.</t>
  </si>
  <si>
    <t>Provisión de recursos para el pago de las sumas establecidas dentro de las condiciones de la póliza de seguro de los vehículos del INTA.</t>
  </si>
  <si>
    <t>CUENTAS ESPECIALES</t>
  </si>
  <si>
    <t>6.07</t>
  </si>
  <si>
    <t>TRANSFERENCIAS CORRIENTES AL SECTOR EXTERNO</t>
  </si>
  <si>
    <t>6.07.01</t>
  </si>
  <si>
    <t>Transferencias Corrientes a Organismos Internacionales</t>
  </si>
  <si>
    <t>Materiales requeridos para la reparación y mantenimiento de instalaciones.</t>
  </si>
  <si>
    <t>JUSTIFICACIÓN  DE GASTO SOLICITADO POR SUBPARTIDA PRESUPUESTARIA</t>
  </si>
  <si>
    <t>JUSTIFICACIÓN DEL GASTO</t>
  </si>
  <si>
    <t>INGRESOS</t>
  </si>
  <si>
    <t>1.4.0.0.00.00.0.0.000</t>
  </si>
  <si>
    <t>1.4.1.0.00.00.0.0.000</t>
  </si>
  <si>
    <t>PARTIDA /       SUBPARTIDA</t>
  </si>
  <si>
    <t>TOTAL</t>
  </si>
  <si>
    <t>MONTO                                    (en miles de colones)</t>
  </si>
  <si>
    <t>(en miles de colones)</t>
  </si>
  <si>
    <t>REMUNERACIONES</t>
  </si>
  <si>
    <t>SERVICIOS</t>
  </si>
  <si>
    <t>MATERIALES Y SUMINISTROS</t>
  </si>
  <si>
    <t>BIENES DURADEROS</t>
  </si>
  <si>
    <t>Descripción de la Subpartida</t>
  </si>
  <si>
    <t>0.04.01</t>
  </si>
  <si>
    <t>0.04.05</t>
  </si>
  <si>
    <t>0.05.01</t>
  </si>
  <si>
    <t>0.05.02</t>
  </si>
  <si>
    <t>0.05.03</t>
  </si>
  <si>
    <t>1.01.02</t>
  </si>
  <si>
    <t xml:space="preserve"> SERVICIOS COMERCIALES Y FINANCIEROS</t>
  </si>
  <si>
    <t>1.03.03</t>
  </si>
  <si>
    <t>1.04.04</t>
  </si>
  <si>
    <t>1.04.05</t>
  </si>
  <si>
    <t>1.05.02</t>
  </si>
  <si>
    <t>1.07.01</t>
  </si>
  <si>
    <t>1.08.01</t>
  </si>
  <si>
    <t>1.08.05</t>
  </si>
  <si>
    <t>2.01.01</t>
  </si>
  <si>
    <t>2.01.04</t>
  </si>
  <si>
    <t>2.04.02</t>
  </si>
  <si>
    <t>5.01.03</t>
  </si>
  <si>
    <t>5.01.05</t>
  </si>
  <si>
    <t xml:space="preserve"> REMUNERACIONES</t>
  </si>
  <si>
    <t xml:space="preserve"> SERVICIOS</t>
  </si>
  <si>
    <t xml:space="preserve">  Impresión, encuadernación y otros</t>
  </si>
  <si>
    <t xml:space="preserve">  Servicios en ciencias económicas y sociales</t>
  </si>
  <si>
    <t xml:space="preserve">  GASTOS DE VIAJE Y DE TRANSPORTE</t>
  </si>
  <si>
    <t xml:space="preserve">  Viáticos dentro del país</t>
  </si>
  <si>
    <t xml:space="preserve">   Mantenimiento de edificios y locales</t>
  </si>
  <si>
    <t xml:space="preserve">   Actividades de capacitación</t>
  </si>
  <si>
    <t xml:space="preserve">   Mantenimiento y reparación de equipo de transporte</t>
  </si>
  <si>
    <t xml:space="preserve">  MATERIALES Y SUMINISTROS</t>
  </si>
  <si>
    <t xml:space="preserve">  Combustibles y lubricantes</t>
  </si>
  <si>
    <t xml:space="preserve">  Tintas, pinturas y diluyentes</t>
  </si>
  <si>
    <t xml:space="preserve">  ALIMENTOS  Y PRODUCTOS AGROPECUARIOS</t>
  </si>
  <si>
    <t>2 04</t>
  </si>
  <si>
    <t>2 04 01</t>
  </si>
  <si>
    <t xml:space="preserve">  HERRAMIENTAS, REPUESTOS Y ACCESORIOS</t>
  </si>
  <si>
    <t xml:space="preserve">  Herramientas e instrumentos</t>
  </si>
  <si>
    <t xml:space="preserve">  Repuestos y accesorios</t>
  </si>
  <si>
    <t xml:space="preserve">  BIENES DURADEROS</t>
  </si>
  <si>
    <t xml:space="preserve">  MAQUINARIA, EQUIPO Y MOBILIARIO</t>
  </si>
  <si>
    <t xml:space="preserve">  Equipo de comunicación</t>
  </si>
  <si>
    <t>Decimotercer mes</t>
  </si>
  <si>
    <t>0.03.03</t>
  </si>
  <si>
    <t xml:space="preserve"> Jornales </t>
  </si>
  <si>
    <t>1.01.01</t>
  </si>
  <si>
    <t>1.04.03</t>
  </si>
  <si>
    <t>1.08.04</t>
  </si>
  <si>
    <t>2.01.99</t>
  </si>
  <si>
    <t>5.01.06</t>
  </si>
  <si>
    <t>0.01.02</t>
  </si>
  <si>
    <t xml:space="preserve"> INCENTIVOS SALARIALES</t>
  </si>
  <si>
    <t xml:space="preserve"> ALQUILERES</t>
  </si>
  <si>
    <t xml:space="preserve"> Alquiler de edificios, locales y terrenos</t>
  </si>
  <si>
    <t xml:space="preserve"> Alquiler de maquinaria, equipo y mobiliario</t>
  </si>
  <si>
    <t>1.04.06</t>
  </si>
  <si>
    <t>2.02.02</t>
  </si>
  <si>
    <t>5.01.01</t>
  </si>
  <si>
    <t>5.01.02</t>
  </si>
  <si>
    <t>5.02.99</t>
  </si>
  <si>
    <t xml:space="preserve">  Servicios generales</t>
  </si>
  <si>
    <t xml:space="preserve">  Otros productos químicos</t>
  </si>
  <si>
    <t xml:space="preserve">  Productos agroforestales</t>
  </si>
  <si>
    <t xml:space="preserve">  Maquinaria y equipo para la producción</t>
  </si>
  <si>
    <t xml:space="preserve">  Equipo de transporte</t>
  </si>
  <si>
    <t xml:space="preserve">  CONSTRUCCIONES, ADICIONES Y MEJORAS</t>
  </si>
  <si>
    <t xml:space="preserve">  Otras construcciones, adiciones y mejoras</t>
  </si>
  <si>
    <t xml:space="preserve"> Contribución patronal al Banco Popular y de Desarr. Com.0,5%</t>
  </si>
  <si>
    <t xml:space="preserve"> Aporte patronal al Fondo de Capitalización laboral 3 %</t>
  </si>
  <si>
    <t xml:space="preserve"> Aporte patronal régimen obligatorio de pensiones 1,5 %</t>
  </si>
  <si>
    <t>0.01.01</t>
  </si>
  <si>
    <t xml:space="preserve"> Sueldos para cargos fijos</t>
  </si>
  <si>
    <t xml:space="preserve"> REMUNERACIONES EVENTUALES</t>
  </si>
  <si>
    <t>0.02.01</t>
  </si>
  <si>
    <t xml:space="preserve"> Tiempo extraordinario</t>
  </si>
  <si>
    <t>0.02.05</t>
  </si>
  <si>
    <t xml:space="preserve"> Dietas</t>
  </si>
  <si>
    <t>0.03.01</t>
  </si>
  <si>
    <t>Retribuciones por Años Servidos</t>
  </si>
  <si>
    <t>0.03.02</t>
  </si>
  <si>
    <t>0.03.04</t>
  </si>
  <si>
    <t xml:space="preserve"> Salario Escolar</t>
  </si>
  <si>
    <t>0.03.99</t>
  </si>
  <si>
    <t xml:space="preserve"> Otros incentivos salariales</t>
  </si>
  <si>
    <t xml:space="preserve"> CONTRIBUCIONES PATRONALES AL DESARROLLO Y LA SEGURIDAD SOCIAL</t>
  </si>
  <si>
    <t xml:space="preserve"> Contribución Patronal al Seguro de Salud de la Caja  Costarricense del Seguro Social 9,25% </t>
  </si>
  <si>
    <t>0.05.05</t>
  </si>
  <si>
    <t>Contribución patronal a fondos administ por entes privados 5,33%</t>
  </si>
  <si>
    <t>0.99</t>
  </si>
  <si>
    <t>REMUNERACIONES DIVERSAS</t>
  </si>
  <si>
    <t>0.99.01</t>
  </si>
  <si>
    <t>Gastos de representación</t>
  </si>
  <si>
    <t>1.01.04</t>
  </si>
  <si>
    <t>1.01.99</t>
  </si>
  <si>
    <t xml:space="preserve"> Otros alquileres</t>
  </si>
  <si>
    <t>1.02.01</t>
  </si>
  <si>
    <t xml:space="preserve"> Servicio de agua y alcantarillado</t>
  </si>
  <si>
    <t>1.02.02</t>
  </si>
  <si>
    <t xml:space="preserve"> Servicio de energía eléctrica</t>
  </si>
  <si>
    <t>1.02.03</t>
  </si>
  <si>
    <t xml:space="preserve"> Servicios de correo</t>
  </si>
  <si>
    <t xml:space="preserve">1.02.04 </t>
  </si>
  <si>
    <t xml:space="preserve"> Servicio de telecomunicaciones</t>
  </si>
  <si>
    <t>1.02.99</t>
  </si>
  <si>
    <t xml:space="preserve"> Otros servicios básicos</t>
  </si>
  <si>
    <t xml:space="preserve">1.03.01 </t>
  </si>
  <si>
    <t xml:space="preserve">  Información</t>
  </si>
  <si>
    <t>1.03.02</t>
  </si>
  <si>
    <t xml:space="preserve">  Publicidad y propaganda</t>
  </si>
  <si>
    <t xml:space="preserve">1.03.04 </t>
  </si>
  <si>
    <t xml:space="preserve">  Transporte de bienes</t>
  </si>
  <si>
    <t>1.03.05</t>
  </si>
  <si>
    <t>Servicios Aduaneros</t>
  </si>
  <si>
    <t>1.03.06</t>
  </si>
  <si>
    <t xml:space="preserve">  Comisiones y gastos por servicios financ y comerciales</t>
  </si>
  <si>
    <t xml:space="preserve">1.03.07 </t>
  </si>
  <si>
    <t>1.04.01</t>
  </si>
  <si>
    <t>1.04.99</t>
  </si>
  <si>
    <t xml:space="preserve">  Otros servicios de gestión y apoyo</t>
  </si>
  <si>
    <t>1.05.01</t>
  </si>
  <si>
    <t xml:space="preserve">  Transporte dentro del país</t>
  </si>
  <si>
    <t>1.05.03</t>
  </si>
  <si>
    <t xml:space="preserve">  Transporte en el exterior</t>
  </si>
  <si>
    <t>1.05.04</t>
  </si>
  <si>
    <t xml:space="preserve">  Viáticos en el exterior</t>
  </si>
  <si>
    <t xml:space="preserve">  SEGUROS, REASEGUROS Y OTRAS OBLIGACIONES</t>
  </si>
  <si>
    <t>1.06.01</t>
  </si>
  <si>
    <t xml:space="preserve">  Seguros</t>
  </si>
  <si>
    <t>1.07.02</t>
  </si>
  <si>
    <t xml:space="preserve">   Actividades protocolarias y sociales</t>
  </si>
  <si>
    <t>1.08.02</t>
  </si>
  <si>
    <t>1.08.03</t>
  </si>
  <si>
    <t xml:space="preserve">   Mantenimiento de instalaciones y otras obras</t>
  </si>
  <si>
    <t>1.08.06</t>
  </si>
  <si>
    <t>1.08.07</t>
  </si>
  <si>
    <t>1.08.08</t>
  </si>
  <si>
    <t>1.08.99</t>
  </si>
  <si>
    <t xml:space="preserve">   Mantenimiento y reparación de otros equipos</t>
  </si>
  <si>
    <t xml:space="preserve">  SERVICIOS DIVERSOS</t>
  </si>
  <si>
    <t>1.99.02</t>
  </si>
  <si>
    <t xml:space="preserve"> Intereses moratorios y multas</t>
  </si>
  <si>
    <t>1.99.05</t>
  </si>
  <si>
    <t>Deducibles</t>
  </si>
  <si>
    <t>1.99.99</t>
  </si>
  <si>
    <t xml:space="preserve">  Otros servicios no especificados</t>
  </si>
  <si>
    <t>2.01.02</t>
  </si>
  <si>
    <t>2.01.03</t>
  </si>
  <si>
    <t xml:space="preserve">  Productos veterinarios</t>
  </si>
  <si>
    <t>2.02.01</t>
  </si>
  <si>
    <t xml:space="preserve">  Productos pecuarios y otras especies</t>
  </si>
  <si>
    <t>2.02.03</t>
  </si>
  <si>
    <t xml:space="preserve">  Alimentos y bebidas</t>
  </si>
  <si>
    <t>2.02.04</t>
  </si>
  <si>
    <t xml:space="preserve">  Alimentos para animales</t>
  </si>
  <si>
    <t xml:space="preserve">  MATERIALES Y PROD. DE USO EN CONSTRUC.Y MANT</t>
  </si>
  <si>
    <t>2.03.01</t>
  </si>
  <si>
    <t xml:space="preserve">  Materiales y productos metálicos</t>
  </si>
  <si>
    <t>2.03.02</t>
  </si>
  <si>
    <t xml:space="preserve">  Materiales y productos minerales y asfálticos</t>
  </si>
  <si>
    <t>2.03.03</t>
  </si>
  <si>
    <t xml:space="preserve">  Madera y sus derivados</t>
  </si>
  <si>
    <t>2.03.04</t>
  </si>
  <si>
    <t xml:space="preserve">  Materiales y productos eléctricos, telefónic. y de cómputo</t>
  </si>
  <si>
    <t>2.03.05</t>
  </si>
  <si>
    <t xml:space="preserve">  Materiales y productos de vidrio</t>
  </si>
  <si>
    <t>2.03.06</t>
  </si>
  <si>
    <t xml:space="preserve">  Materiales y productos plásticos</t>
  </si>
  <si>
    <t>2.03.99</t>
  </si>
  <si>
    <t xml:space="preserve">  Otros materiales y productos de uso en la construcc.</t>
  </si>
  <si>
    <t>2.05.01</t>
  </si>
  <si>
    <t xml:space="preserve">  Materia prima</t>
  </si>
  <si>
    <t>2.05.99</t>
  </si>
  <si>
    <t>2.99.01</t>
  </si>
  <si>
    <t>2.99.02</t>
  </si>
  <si>
    <t>2.99.03</t>
  </si>
  <si>
    <t xml:space="preserve">  Productos de papel, cartón e impresos</t>
  </si>
  <si>
    <t>2.99.04</t>
  </si>
  <si>
    <t xml:space="preserve">  Textiles y vestuarios</t>
  </si>
  <si>
    <t>2.99.05</t>
  </si>
  <si>
    <t>2.99.06</t>
  </si>
  <si>
    <t>2.99.07</t>
  </si>
  <si>
    <t>2.99.99</t>
  </si>
  <si>
    <t xml:space="preserve">  INTERESES Y COMISIONES</t>
  </si>
  <si>
    <t xml:space="preserve"> COMISIONES Y OTROS GASTOS</t>
  </si>
  <si>
    <t>3.04.05</t>
  </si>
  <si>
    <t xml:space="preserve">  Diferencia por tipo de cambio</t>
  </si>
  <si>
    <t>5.01.04</t>
  </si>
  <si>
    <t xml:space="preserve">  Equipo y mobiliario de oficina</t>
  </si>
  <si>
    <t>5.01.07</t>
  </si>
  <si>
    <t>5.01.99</t>
  </si>
  <si>
    <t xml:space="preserve">  BIENES DURADEROS DIVERSOS</t>
  </si>
  <si>
    <t>5.99.01</t>
  </si>
  <si>
    <t xml:space="preserve">  Semovientes</t>
  </si>
  <si>
    <t xml:space="preserve">  TRANSFERENCIAS CORRIENTES</t>
  </si>
  <si>
    <t>6.01</t>
  </si>
  <si>
    <t>TRANSFERENCIAS SECTOR PUBLICO</t>
  </si>
  <si>
    <t>6.01.08</t>
  </si>
  <si>
    <t>Fondos en fideicomiso gasto corriente</t>
  </si>
  <si>
    <t xml:space="preserve">  TRANSFERENCIA CORRIENTES A PERSONA</t>
  </si>
  <si>
    <t>6.02.01</t>
  </si>
  <si>
    <t xml:space="preserve">  Becas a funcionarios</t>
  </si>
  <si>
    <t>6.03</t>
  </si>
  <si>
    <t>PRESTACIONES</t>
  </si>
  <si>
    <t>6.03.01</t>
  </si>
  <si>
    <t>Prestaciones Legales</t>
  </si>
  <si>
    <t xml:space="preserve">  TRANSFERENCIAS CORR. ENTID.PRIVADAS SIN FINES LUCRO</t>
  </si>
  <si>
    <t>6.04.01</t>
  </si>
  <si>
    <t>6.06</t>
  </si>
  <si>
    <t>OTRAS TRANSFERENCIAS CORRIENTES AL SECTOR PRIVADO</t>
  </si>
  <si>
    <t>6.06.01</t>
  </si>
  <si>
    <t>Indemnizaciones</t>
  </si>
  <si>
    <t>TRANSFERENCIAS DE CAPITAL</t>
  </si>
  <si>
    <t>7.01</t>
  </si>
  <si>
    <t>TRANSFERENCIAS DE CAPITAL AL SECTOR PUBLICO</t>
  </si>
  <si>
    <t>7.01.02</t>
  </si>
  <si>
    <t xml:space="preserve">CUENTAS  ESPECIALES </t>
  </si>
  <si>
    <t>9.02</t>
  </si>
  <si>
    <t>Código Subpartida</t>
  </si>
  <si>
    <t>Monto Total Solicitado</t>
  </si>
  <si>
    <t>1.0.0.0.00.00.0.0.000</t>
  </si>
  <si>
    <t>INGRESOS CORRIENTES</t>
  </si>
  <si>
    <t xml:space="preserve">INGRESOS TRIBUTARIOS </t>
  </si>
  <si>
    <t>1.1.4.1.00.00.0.0.000</t>
  </si>
  <si>
    <t>1.1.4.1.09.00.0.0.000</t>
  </si>
  <si>
    <t>1.3.0.0.00.00.0.0.000</t>
  </si>
  <si>
    <t>INGRESOS NO TRIBUTARIOS</t>
  </si>
  <si>
    <t>1.3.1.0.00.00.0.0.000</t>
  </si>
  <si>
    <t>VENTA DE BIENES Y SERVICIOS</t>
  </si>
  <si>
    <t>1.3.1.1.00.00.0.0.000</t>
  </si>
  <si>
    <t xml:space="preserve">VENTA DE BIENES </t>
  </si>
  <si>
    <t>1.3.1.1.01.00.0.0.000</t>
  </si>
  <si>
    <t>Venta de Bienes Agropecuarios y Forestales</t>
  </si>
  <si>
    <t>1.3.1.2.00.00.0.0.000</t>
  </si>
  <si>
    <t>VENTA DE SERVICIOS</t>
  </si>
  <si>
    <t>1.3.1.2.04.00.0.0.000</t>
  </si>
  <si>
    <t>ALQUILERES</t>
  </si>
  <si>
    <t>1.3.1.2.04.01.0.0.000</t>
  </si>
  <si>
    <t>1.3.1.2.09.00.0.0.000</t>
  </si>
  <si>
    <t>OTROS SERVICIOS</t>
  </si>
  <si>
    <t>1.3.1.2.09.02.0.0.000</t>
  </si>
  <si>
    <t>Servicios de investigación y desarrollo</t>
  </si>
  <si>
    <t>1.3.1.2.09.09.0.0.000</t>
  </si>
  <si>
    <t>Venta de otros servicios</t>
  </si>
  <si>
    <t>1.3.2.3.03.00.0.0.000</t>
  </si>
  <si>
    <t xml:space="preserve">OTRAS VENTAS DE ACTIVOS FINANCIEROS </t>
  </si>
  <si>
    <t>1.3.2.3.03.01.0.0.000</t>
  </si>
  <si>
    <t>Intereses sobre cuentas corrientes y otros depósitos de Bancos Estatales</t>
  </si>
  <si>
    <t>1.3.2.3.00.00.0.0.000</t>
  </si>
  <si>
    <t>RENTA DE ACTIVOS FINANCIEROS</t>
  </si>
  <si>
    <t>1.3.2.0.00.00.0.0.000</t>
  </si>
  <si>
    <t>INGRESOS DE LA PROPIEDAD</t>
  </si>
  <si>
    <t>1.1.0.0.00.00.0.0.000</t>
  </si>
  <si>
    <t>1.1.4.0.00.00.0.0.000</t>
  </si>
  <si>
    <t>IMPUESTOS SOBRE COMERCIO EXTERIOR Y TRANSACCIONES INTERNACIONALES</t>
  </si>
  <si>
    <t>IMPUESTOS A LAS IMPORTACIONES</t>
  </si>
  <si>
    <t>TRANSFERENCIAS CORRIENTES</t>
  </si>
  <si>
    <t>Otros Impuestos a la Importaciones (Canon arrocero)</t>
  </si>
  <si>
    <t>TRANSFERENCIAS CORRIENTES DEL SECTOR PÚBLICO</t>
  </si>
  <si>
    <t>Transferencias Corrientes del Gobierno Central</t>
  </si>
  <si>
    <t>1.4.1.1.00.00.0.0.000</t>
  </si>
  <si>
    <t>FINANCIAMIENTO</t>
  </si>
  <si>
    <t>CÓDIGO</t>
  </si>
  <si>
    <t>EGRESOS</t>
  </si>
  <si>
    <t>PARTIDA</t>
  </si>
  <si>
    <t>SUBPARTIDA</t>
  </si>
  <si>
    <t>SUBCUENTA</t>
  </si>
  <si>
    <t>INTERESES Y COMISIONES</t>
  </si>
  <si>
    <t>TOTAL INGRESOS</t>
  </si>
  <si>
    <t>TOTAL DE EGRESOS</t>
  </si>
  <si>
    <t>RESUMEN DE GASTO SOLICITADO POR PROGRAMA Y SUBPROGRAMA</t>
  </si>
  <si>
    <t xml:space="preserve">CÓDIGO DEL PROGRAMA </t>
  </si>
  <si>
    <t>CÓDIGO DEL SUBPROGRAMA</t>
  </si>
  <si>
    <t>MONTO SOLICITADO (en miles de colones)</t>
  </si>
  <si>
    <t>NOMBRE DEL             PROGRAMA</t>
  </si>
  <si>
    <t>Investigación y Desarrollo Tecnológico</t>
  </si>
  <si>
    <t>EN EL NIVEL INSTITUCIONAL</t>
  </si>
  <si>
    <t>Monto Solicitado  Lab. Suelos</t>
  </si>
  <si>
    <t>Monto Solicitado  Lab. Fitoprotec.</t>
  </si>
  <si>
    <t>Monto Solicitado  Lab. Piensos y Forrajes</t>
  </si>
  <si>
    <t xml:space="preserve"> </t>
  </si>
  <si>
    <t>3.0.0.0.00.00.0.0.000</t>
  </si>
  <si>
    <t>3.3.0.0.00.00.0.0.000</t>
  </si>
  <si>
    <t>RECURSOS DE VIGENCIAS ANTERIORES</t>
  </si>
  <si>
    <t>3.3.1.0.00.00.0.0.00</t>
  </si>
  <si>
    <t>SUPERAVIT LIBRE</t>
  </si>
  <si>
    <t xml:space="preserve">      Superavit del INTA</t>
  </si>
  <si>
    <t>3.3.2.0.00.00.0.0.00</t>
  </si>
  <si>
    <t>SUPERAVIT ESPECIFICO</t>
  </si>
  <si>
    <t>0.01.03</t>
  </si>
  <si>
    <t>Servicios Especiales</t>
  </si>
  <si>
    <t>1,09,99</t>
  </si>
  <si>
    <t>IMPUESTOS</t>
  </si>
  <si>
    <t>Otros Impuestos</t>
  </si>
  <si>
    <t>1.3.2.3.03.04.0.0.000</t>
  </si>
  <si>
    <t>Diferencias por tipo de cambio</t>
  </si>
  <si>
    <t>6.06.02</t>
  </si>
  <si>
    <t>Reintegros o Devoluciones</t>
  </si>
  <si>
    <t>Recursos para sufragar gastos relacionados con transferencias bancarias, comisiones por venta de ganado en subastas.</t>
  </si>
  <si>
    <t xml:space="preserve">      Superávit Específico del INTA</t>
  </si>
  <si>
    <t xml:space="preserve">      Superavit Especifico INTA</t>
  </si>
  <si>
    <t>Monto Solicitado Gastos Generales</t>
  </si>
  <si>
    <t>Gastos Generales</t>
  </si>
  <si>
    <t>Pago de dietas a los directivos representantes del sector privado, por su asistencia a las reuniones de Junta Directiva del INTA.</t>
  </si>
  <si>
    <t>Concentrados, mieles y otras mezclas para hatos de las Estaciones Experimentales</t>
  </si>
  <si>
    <t xml:space="preserve">Materiales y productos para la reparación de instalaciones, así como para la construcción de nueva infraestructura, varilla de construcción, grapas, clavos, bisagras, tubos de hierro galvanizado, soldadura, y otros </t>
  </si>
  <si>
    <t>Materiales para reparación y mantenimiento de instalaciones, no contemplados en las subpartidas anteriores.</t>
  </si>
  <si>
    <t>Compra de herramientas e instrumentos para trabajo en estaciones, laboratorios y ensayos de campo.</t>
  </si>
  <si>
    <t>Materiales utilizados en laboratorio e investigación, tales como agujas, jeringas, material para suturas, guantes y similares.</t>
  </si>
  <si>
    <t>Adquisición de artículos de limpieza para oficina central, laboratorios y Estaciones Experimentales, tales como escobas, bolsas plásticas, desinfectantes, ceras, jabón y cualquier otro articulo similar.</t>
  </si>
  <si>
    <t>1.07.03</t>
  </si>
  <si>
    <t>Gastos de representación Institucional</t>
  </si>
  <si>
    <t>Otras Prestaciones</t>
  </si>
  <si>
    <t>6.03.99</t>
  </si>
  <si>
    <t>Transferencias corrientes de Instituciones Descentralizadas no Empresariales</t>
  </si>
  <si>
    <t>1.4.1.3.00.00.0.0.000</t>
  </si>
  <si>
    <t>Contratación de peones para realizar labores ocasionales en Estaciones Experimentales, laboratorios y ensayos de investigación.</t>
  </si>
  <si>
    <t>Materiales para seguridad ocupacional, como guantes, mascarillas, anteojos plásticos, entre otros, así como Kit de seguridad para vehículos. Municiones para armas de personal de vigilancia.</t>
  </si>
  <si>
    <t>Pago de aguinaldo a peones</t>
  </si>
  <si>
    <t>Cancelación de recibos de energía eléctrica utilizada en los laboratorios y Estaciones Experimentales.</t>
  </si>
  <si>
    <t>Gestion Intitucional</t>
  </si>
  <si>
    <t>ESTADO DE ORIGEN Y APLICACIÓN DE FONDOS POR PROGRAMA</t>
  </si>
  <si>
    <t>SUBTOTAL GESTION INTITUCIONAL</t>
  </si>
  <si>
    <t>SUBTOTAL DESARROLLO TECNOLOGICO</t>
  </si>
  <si>
    <t>TOTAL GENERAL DE EGRESOS</t>
  </si>
  <si>
    <t>6.01.02</t>
  </si>
  <si>
    <t xml:space="preserve">Transferencias de capital a Órganos desconcentrados </t>
  </si>
  <si>
    <t>Transferencias Corrientes a Organos desconcentrados</t>
  </si>
  <si>
    <t xml:space="preserve">       -Transferencia del MAG según Ley N° 8562</t>
  </si>
  <si>
    <t xml:space="preserve">       -Transferencia de INCOPESCA</t>
  </si>
  <si>
    <t xml:space="preserve">       -Transferencia de SENARA</t>
  </si>
  <si>
    <t xml:space="preserve">       -Transferencia de Servicio Fitosanitario del Estado</t>
  </si>
  <si>
    <t>1.3.1.2.09.01.0.0.000</t>
  </si>
  <si>
    <t>Servicios de formación y capacitación</t>
  </si>
  <si>
    <t>6.04.02</t>
  </si>
  <si>
    <t xml:space="preserve">  Transferencias corrientes a Fundaciones</t>
  </si>
  <si>
    <t>Pago de servicio de riego brindado por SENARA en la Estación Experimental Enrique Jiménez Núñez.  Pago de servicio de agua brindado por el Acueducto de Tierra blanca a la Estación Experimental Carlos Durán.</t>
  </si>
  <si>
    <t xml:space="preserve">Publicaciones de reglamentos, carteles de licitación, avisos, Plan de Compras, documentos y otros similares, relacionados con el quehacer técnico, científico y administrativo del instituto, utilizando para ello medios escritos de comunicación. </t>
  </si>
  <si>
    <t>Compra de productos utilizados en análisis y ensayos de investigación</t>
  </si>
  <si>
    <t>Recursos aportados por Instituciones del Sector Público Agrario correspondiente al 40% del Superávit de periodos anteriores.</t>
  </si>
  <si>
    <t>Para los requerimientos sanitarios y medicinales para porcino y ganadería ubicados en  las Estaciones Experimentales</t>
  </si>
  <si>
    <t>Compra de arena, piedra, cemento y otros necesarios para reparaciones menores en las Estaciones Experimentales así como requeridos eventualmente para el mantenimiento de caminos internos en las mismas.</t>
  </si>
  <si>
    <t xml:space="preserve"> Contribución patronal al fondo de pensiones CCSS 5.08%</t>
  </si>
  <si>
    <t>Pago de timbres y especies fiscales para trámites legales.</t>
  </si>
  <si>
    <t>Pago de pólizas, riesgos de trabajo de los funcionarios, vehículos, equipo, maquinaria, incendios y siniestros de edificios del INTA así como el pago de marchamos de los vehículos del INTA.</t>
  </si>
  <si>
    <t xml:space="preserve">Mantenimiento y reparación de la flotilla vehicular del INTA </t>
  </si>
  <si>
    <t>Agroquímicos para el desarrollo de proyectos de investigación y reactivos utilizados en los laboratorios y Estaciones Experimentales.</t>
  </si>
  <si>
    <t>RESUMEN DE GASTO SOLICITADO POR SUB PARTIDA PRESUPUESTARIA</t>
  </si>
  <si>
    <t xml:space="preserve">      Superávit Específico Proyecto Cartografia de Suelos</t>
  </si>
  <si>
    <t xml:space="preserve">Mantenimiento y lastreo de caminos internos de la finca de Quepos.   </t>
  </si>
  <si>
    <t xml:space="preserve">Recursos para soporte y mantenimiento de equipo de cómputo, y otros. </t>
  </si>
  <si>
    <t>Adquisición de todo tipo de útiles y materiales de oficina, necesarios para el desempeño de las funciones del personal del Instituto.</t>
  </si>
  <si>
    <t>Adquisición de materiales y útiles usados en la Sede central y laboratorios del INTA ( Papel Aluminio, Vasos, platos, filtros para café. Plástico adhesivo para alimentos)</t>
  </si>
  <si>
    <t>Cumplimiento de la Ley Respectiva para el pago del 3% de superávit libre del INTA a la Comisión Nacional de Prevención de Riesgos y atención de Emergencias.</t>
  </si>
  <si>
    <t>Provisión para pago de subsidios por incapacidad</t>
  </si>
  <si>
    <t xml:space="preserve">Compra de otros útiles no considerados en las subpartidas anteriores, tales como: Macetas plásticas, estañones, cajas germinadoras, cajas plásticas, herraduras para caballos, bolsas para vivero, baterías de foco y otras. </t>
  </si>
  <si>
    <t xml:space="preserve">Materiales requeridos para el buen funcionamiento de los sistemas eléctricos, telefónicos y de cómputo tanto en oficinas centrales como en laboratorios y estaciones experimentales. </t>
  </si>
  <si>
    <t>Servicio de envío de documentos mediante correo certificado y pago de casillero del INTA.</t>
  </si>
  <si>
    <t>Pago de servicios de telefonía, internet y datacard en laboratorios y estaciones experimentales. Acceso a base de datos DATUM (Servicio de información y acceso instantáneo en tiempo real de respuesta-paquete básico), servicios de acceso vía WEB para consulta de información jurídica, jurisprudencia, normas, gaceta para la Auditoria Interna.</t>
  </si>
  <si>
    <t>Pago de servicios de afilado de herramientas y cerrajería, recarga de extintores, Contratación de servicio de limpieza de instalaciones en edificios del INTA. Contratación de servicios de fumigación. Contratación de seguridad monitoreo cámaras y guardas en Estaciones Experimentales y laboratorios, así como chapias y limpieza en las mismas.</t>
  </si>
  <si>
    <t>Pago de membresía de los Laboratorio al Colegio de Químicos.</t>
  </si>
  <si>
    <t>Compra de tintas y tóner para impresoras y fotocopiadoras, así como pintura y diluyentes requeridos en el quehacer diario del INTA.</t>
  </si>
  <si>
    <t>Compra de tuberías y productos plásticos para el mantenimiento de infraestructura de estaciones y laboratorios, compra de sarán, malla antiáfidos, plástico para construcción de invernadero.</t>
  </si>
  <si>
    <t xml:space="preserve">Pago de liquidaciones a Jornales </t>
  </si>
  <si>
    <t xml:space="preserve">SUBPARTIDA </t>
  </si>
  <si>
    <t xml:space="preserve">DESCRIPCIÓN </t>
  </si>
  <si>
    <t>2.04.01</t>
  </si>
  <si>
    <t>SERVICIOS BÁSICOS</t>
  </si>
  <si>
    <t>Servicio de agua y alcantarillado</t>
  </si>
  <si>
    <t>Servicio de energía eléctrica</t>
  </si>
  <si>
    <t>GASTOS DE VIAJE Y DE TRANSPORTE</t>
  </si>
  <si>
    <t>Viáticos dentro del país</t>
  </si>
  <si>
    <t>CAPACITACIÓN Y PROTOCOLO</t>
  </si>
  <si>
    <t>Actividades de capacitación</t>
  </si>
  <si>
    <t>MANTENIMIENTO Y REPARACIÓN</t>
  </si>
  <si>
    <t>Manten.reparación maquin. Equipo de producción</t>
  </si>
  <si>
    <t>Mantenimiento y reparación de equipo de transporte</t>
  </si>
  <si>
    <t>PRODUCTOS QUÍMICOS Y CONEXOS</t>
  </si>
  <si>
    <t>Combustibles y lubricantes</t>
  </si>
  <si>
    <t>Productos veterinarios</t>
  </si>
  <si>
    <t>Otros productos químicos</t>
  </si>
  <si>
    <t>ALIMENTOS  Y PRODUCTOS AGROPECUARIOS</t>
  </si>
  <si>
    <t>Alimentos para animales</t>
  </si>
  <si>
    <t>HERRAMIENTAS, REPUESTOS Y ACCESORIOS</t>
  </si>
  <si>
    <t>Herramientas e instrumentos</t>
  </si>
  <si>
    <t>Repuestos y accesorios</t>
  </si>
  <si>
    <t>BIENES PARA LA PRODUCCIÓN Y COMERCIALIZACIÓN</t>
  </si>
  <si>
    <t>Materia prima</t>
  </si>
  <si>
    <t>ÚTILES MATERIALES Y SUMINISTROS</t>
  </si>
  <si>
    <t>Útiles y materiales médicos, hospitalarios y de investigac.</t>
  </si>
  <si>
    <t>MAQUINARIA, EQUIPO Y MOBILIARIO</t>
  </si>
  <si>
    <t>Maquinaria y equipo para la producción</t>
  </si>
  <si>
    <t>Equipo de transporte</t>
  </si>
  <si>
    <t>Equipo de comunicación</t>
  </si>
  <si>
    <t>Equipo y mobiliario de oficina</t>
  </si>
  <si>
    <t>Equipo y programas de cómputo</t>
  </si>
  <si>
    <t>Equipo sanitario, de laboratorio  e investigación</t>
  </si>
  <si>
    <t>Maquinaria y equipo diverso</t>
  </si>
  <si>
    <t>CONSTRUCCIONES, ADICIONES Y MEJORAS</t>
  </si>
  <si>
    <t>Otras construcciones, adiciones y mejoras</t>
  </si>
  <si>
    <t>BIENES DURADEROS DIVERSOS</t>
  </si>
  <si>
    <t>Semovientes</t>
  </si>
  <si>
    <t>3.3.1.0.00.00.0.0.000</t>
  </si>
  <si>
    <t>DETALLE</t>
  </si>
  <si>
    <t>PROGRAMA</t>
  </si>
  <si>
    <t>ESTADO DE ORIGEN Y APLICACIÓN DE FONDOS POR PROGRAMA Y SUBPARTIDA PRESUPUESTARIA (Superavit Libre y Especifico)</t>
  </si>
  <si>
    <t>Transferencias Corrientes de Órganos Desconcentrados</t>
  </si>
  <si>
    <t xml:space="preserve">        -Transferencia de SENASA</t>
  </si>
  <si>
    <t>1.4.1.2.00.00.0.0.000</t>
  </si>
  <si>
    <t>Monto Solicitado Auditoría Interna</t>
  </si>
  <si>
    <t>Monto Solicitado Contraloría de Servicios</t>
  </si>
  <si>
    <t>Monto Solicitado Dirección Ejecutiva</t>
  </si>
  <si>
    <t>Monto Solicitado Dirección Administrativa Financiera</t>
  </si>
  <si>
    <t xml:space="preserve">Monto Solicitado  Laboratorios </t>
  </si>
  <si>
    <t>Monto Solicitado Dirección Servicios Técnicos</t>
  </si>
  <si>
    <t>Monto Solicitado Estaciones Experiment.</t>
  </si>
  <si>
    <t>Monto Solicitado  Est. Exp.            Los Diamantes</t>
  </si>
  <si>
    <t>Monto Solicitado  Est. Exp.            EJN</t>
  </si>
  <si>
    <t>Monto Solicitado  Est. Exp.            Carlos Durán</t>
  </si>
  <si>
    <t>Monto Solicitado  Est. Exp.            Quepos</t>
  </si>
  <si>
    <t>Monto Solicitado  Dirección de Investigación y Desarrollo Tecnológico</t>
  </si>
  <si>
    <t xml:space="preserve">Monto Solicitado Transferencia de Tegnologia </t>
  </si>
  <si>
    <t xml:space="preserve">Monto Solicitado Investigación e Innovación </t>
  </si>
  <si>
    <t>Monto Solicitado Granos Básicos</t>
  </si>
  <si>
    <t>Monto Solicitado Pecuario</t>
  </si>
  <si>
    <t>TOTAL                 GESTIÓN INSTITUCIONAL</t>
  </si>
  <si>
    <t>TOTAL INVESTIGACION Y DESARROLLO TECNOLOGICO</t>
  </si>
  <si>
    <t>Auditoría Interna</t>
  </si>
  <si>
    <t>Contraloría de Servicios</t>
  </si>
  <si>
    <t>Dirección Ejecutiva</t>
  </si>
  <si>
    <t>Dirección Administrativa Financiera</t>
  </si>
  <si>
    <t>Dirección de Servicios Técnicos</t>
  </si>
  <si>
    <t>Dirección de Investigación y Desarrollo Tecnológico</t>
  </si>
  <si>
    <t xml:space="preserve"> Alquiler de equipo y derechos para telecomunicaciones</t>
  </si>
  <si>
    <t xml:space="preserve">  Servicios de tecnologías de información</t>
  </si>
  <si>
    <t xml:space="preserve">  Servicios en ciencias de la salud</t>
  </si>
  <si>
    <t xml:space="preserve">  Servicios de ingeniería y arquitectura</t>
  </si>
  <si>
    <t xml:space="preserve">  Servicios informáticos</t>
  </si>
  <si>
    <t xml:space="preserve">   Mantenimiento de vías de comunicación</t>
  </si>
  <si>
    <t xml:space="preserve">   Manten. y reparación maquin. equipo de producción</t>
  </si>
  <si>
    <t xml:space="preserve">   Manten. y reparación equipo y mobiliario de oficina</t>
  </si>
  <si>
    <t xml:space="preserve">   Manten, y  reparación equipo de cómputo y sist. de informac.</t>
  </si>
  <si>
    <t xml:space="preserve">   Manten, y reparac. maquinaria y equipo de comunicación</t>
  </si>
  <si>
    <t xml:space="preserve">  Otros útiles, materiales y suministros diversos</t>
  </si>
  <si>
    <t xml:space="preserve">  Equipo de cómputo</t>
  </si>
  <si>
    <t xml:space="preserve">  Equipo sanitario, de laboratorio e investigación</t>
  </si>
  <si>
    <t xml:space="preserve">  Equipo y mobiliario educacional, deportivo y recreativo</t>
  </si>
  <si>
    <t xml:space="preserve">  Maquinaria, equipo y mobiliario diverso</t>
  </si>
  <si>
    <t>5.99.03</t>
  </si>
  <si>
    <t>Bienes Intangibles</t>
  </si>
  <si>
    <t>AÑO PRESUPUESTARIO 2019</t>
  </si>
  <si>
    <t>Superávit acumulado sin presupuestar en el periodo 2018</t>
  </si>
  <si>
    <t xml:space="preserve">Superávit específico del Proyecto “Cartografía digital nacional de clases taxonómicas de suelos y capacidad de uso de las tierras en Costa Rica, para el ordenamiento territorial y los planes reguladores de los Gobiernos Locales”, para atender contrataciones y recursos requeridos para la ejecución de este proyecto.  </t>
  </si>
  <si>
    <t>Alquiler de bodega para los bienes y suministros del INTA</t>
  </si>
  <si>
    <t>Fumigadoras manuales, Fumigadoras de motor, Rotavitor manual, Impulsores cerca eléctrica, Bomba de agua 1hp, Tanque hidroneumático, Picadora de pasto estacionaria, Transformador, Sistema de riego para vivero, Romana 3mil kilos, Romana electrónica de mesa, Romana electrónica para colgar, Compresor de aire y reguladores. Para DIDT y Estaciones Experimentales EJN, Los Diamantes y Servicios Técnicos.</t>
  </si>
  <si>
    <t>Teléfonos inalámbrico, Radio de comunicación, Proyectores multimedia, Pantallas portátiles. Para la Estación Experimental de Quepos, DAF y para uso en actividades de transferencia</t>
  </si>
  <si>
    <t>Determinador de humedad, Limpiador ultrasónico lecho largo, Balanzas electrónicas portátiles, Estereoscopio, Horno de laboratorio, Molino homogeneizador, Liofilizador, Plato calentador orbital 10 posiciones, Autoclave de al menos 85 litros, Desionizador de agua para laboratorio, Balanza electrónica 0.1 gr de incertidumbre, Plantillas de agitación – calentamiento, Deshumificadores de ambiente, Refractómetro digital de batería, Esterilizadores de perlas, Limpiador sónico, Ecógrafo, Metrosperm, Refractómetro de fruta fresca, Licuadora industria, Microscopio, Balanzas analíticas de tres decimales, Ecoweeder, Julímetro digital. Para  Estación Experimental EJN, Los Diamantes, Dpto de Investigación, Laboratorio de suelos, Laboratorio de Fitoprotección</t>
  </si>
  <si>
    <t>Pizarras acrílicas para la DAF y sala del edificio Los Anonos</t>
  </si>
  <si>
    <t>Equipos de protección de picos eléctricos, Cámara digital, Refrigerador vertica puerta metálica, Dispensadores de agua, Plantilla de gas, GPS, Pie de rey digital. Para Estaciónes Experimentales EJN, Los Diamantes, Quepos y Laboratorio de Suelos y Forrajes</t>
  </si>
  <si>
    <t>Invernadero para investigación en  Estación Experimental EJN</t>
  </si>
  <si>
    <t>Pago municipal de recolección de basura.</t>
  </si>
  <si>
    <t xml:space="preserve">Recursos para el mantenimiento y reparación del equipo y la maquinaria utilizada en las Estaciones Experimentales y zonas donde se desarrollan los proyectos de investigación, tales como tractores, cosechadoras, sierras, chapulines, entre otros. Mantenimiento y reparación  de  bombas de espalda y bombas de motor. </t>
  </si>
  <si>
    <t xml:space="preserve">Adquisición de todo tipo de productos de papel, cartón e impresos a utilizar por el personal del INTA, para el desarrollo de sus funciones, así como formularios, periódicos, libros, leyes y reglamentos. Compra de libros de registro de muestras (consecutivos por triplicado), procedimientos laboratoriales, boletas de recibo de muestras y bitacoras de uso de equipo, papel de filtro, libros de consulta, toallas de cocina, bolsas de papel, etc. para el Labotarorio de Fitoprotección. Compra de papel de seguridad para la Certificación del uso conforme del Suelo. </t>
  </si>
  <si>
    <t xml:space="preserve">Consultoría para administración web INTA y plataforma platicar. Desarrollar mejoras en la web del INTA, incluir los agriperfiles y mejorar el componente de investigación.  Contratación de servicios para hospedaje y soporte de la Plataforma del Sistema de la Contraloría de Servicios. </t>
  </si>
  <si>
    <t>Adquicisión de software para bioestadistica y programa pecuario. Actualización de software ganadero TP.</t>
  </si>
  <si>
    <t xml:space="preserve">Mantenimiento preventivo, pintura en edificio y reparaciones menores que requiera la infraestructura del INTA. </t>
  </si>
  <si>
    <t>Recursos para mantenimiento de aires acondicionados, equipo y mobiliario de oficina en las sedes del INTA.</t>
  </si>
  <si>
    <t>Mantenimiento y reparación de equipos no considerados en las subpartidas anteriores, tales como:  autoclaves, destilador, balanzas, phi metros y otros equipos de laboratorio. Mantenimiento de dispensadores de agua. Reparación de bombas de agua, motoguadañas y otros en la Estación LD</t>
  </si>
  <si>
    <t>PROYECTO CARTOGRAFIA DE SUELOS</t>
  </si>
  <si>
    <t>Pago de transporte público de funcionarios, peajes y parqueos. Pago de peajes y ferry del Proyecto de Cartografía de Suelos.</t>
  </si>
  <si>
    <t>Por ser el INTA un Instituto de investigación innovación y transferencia de tecnología, la mayor parte de sus funciones se ejecutan fuera de las oficinas centrales, lo que requiere el desplazamiento de los funcionarios a las distintas regiones del país. Pago de desplazamiento de personal del Proyecto de Cartografía de Suelos.</t>
  </si>
  <si>
    <t xml:space="preserve">Compra de combustibles y lubricantes para el equipo de transporte y de producción del INTA, así como de los vehiculos asignados al Proyecto de Cartografía de Suelos. Compra de gas, acetileno, aceite, aceite fuera borda y coolant requerido en maquinaria y equipo. </t>
  </si>
  <si>
    <t xml:space="preserve">Recursos del Presupuesto del Ministerio de Agricultura y Ganadería, a transferir al INTA, según Ley de Presupuesto Ordinario y Extraordinario de la República, para el ejercicio económico 2019.                                                                                                               </t>
  </si>
  <si>
    <t>Compra de repuestos para equipo de producción, laboratorio, comunicación, educacional y de transporte.</t>
  </si>
  <si>
    <t>Confección de banners y brochures plegables para posicionamiento de la Contraloría de Servicios. Rótulo para instalaciones del INTA en Ochomogo.</t>
  </si>
  <si>
    <t>Alquiler de maquinaria para preparación de terreno.</t>
  </si>
  <si>
    <t>Desalmacenaje y bodegaje de productos importados y material vegetativo y molecular.</t>
  </si>
  <si>
    <t>Pago de la revisión técnica vehicular. Servicio de GPS para seguimiento de flotilla vehicular (84 unidades). Contratación de gestión de desechos para los laboratorios y estaciones. Contratación de calibración de aparatos de laboratorio como micropipetas y balanzas. Contratación de asesoría para la compra de UPS que se adecúen a las necesidades del laboratorio y un analisis del estado electrico del edificio para identificar la carga maxima permitida en miras de incorporar nuevo equipo de laboratorio. Contratación de asesoria para brindar un reporte del estado de los equipos (vida util) y el mantenimiento que los mismos deben recibir. (atención a recomendaciones de auditoría)</t>
  </si>
  <si>
    <t>2 manuales +8 boletines+1 revista (CCC)+Memoria=12 documentos en fromato digital. Reproducción y empaste de documentos, informes técnicos, formularios diversos utilizados en las dependencias institucionales. Impresión, publicación y divulgación de documentos e informes de la Contaloría de Servicios del INTA.</t>
  </si>
  <si>
    <t>Pago de certificación de semilla.</t>
  </si>
  <si>
    <t xml:space="preserve">Inscripción en congresos, talleres, seminarios y cursos de actualización de funcionarios.Capacitaciones para la Auditoría interna (Normas Internacionales de Contabilidad para el Sector Público (NICSP), Redacción de Informes de Auditoría, Análisis de procesos dentro de una Auditoria Operativa, Metodología práctica de la Auditoria Operativa, Papeles de trabajo de la Auditoria, Administración de riesgos, Investigaciones preliminares, Procedimiento Administrativo, Temas relacionados con prevención y detección de fraude, Contratación Administrativa, Derecho Administrativo, Reforma Procesal Laboral, Contencioso Administrativo, Innovación y mejores prácticas en la Auditoria Interna. 25 actividades en total (8 talleres y 17 días de campo) con la siguiente temática (ganadería 5, porcinos 1, frutales 2, granos basicos 2, hortalizas 3, suelos 1, raices 2, riego 1, agricultura organica 1, cambio climatico 2, genero 1, relaser 2, agricultura familiar 1, bancos forrajeros 1) como parte de las actividades de Transferencia. Capacitación en NICSP, Contratación Administrativa, Presupuesto Público y Reforma Procesal Laboral. Capacitaciones y actualización labor de la Contraloría de Servicios del INTA en temas “Ética y probidad en el ejercicio de la función pública”,  "Contribución de los servicios civiles al fortalecimiento de la gobernanza, la gestión y la administración pública. "¨La calidad en la gestión pública a partir de las Contralorías de Servicios". "Innovaciones en la calidad de los Servicios". "Acceso a la Información Pública", "Apertura de Datos"
  </t>
  </si>
  <si>
    <t>Compra de semillas de hortalizas y granos para rotacuión de cultivos en la Estación Carlos Durán.</t>
  </si>
  <si>
    <t>Compra de reglas para marco en la Estación LD, compra de maderas para elaboración de mesas de trabajo en bodegas, cajas de herramientas y rótulos en la Estación de Quepos. Compra de tablas y reglas para mini Rack.</t>
  </si>
  <si>
    <t xml:space="preserve">Compra de botas, gabachas, capas impermeables, paños y franelas para personal de campo y laboratorio, así como mecates, cuerda para chapeas y sacos de polipropileno. Uniformes para funcionarios de seguridad, alfombras para vehículos y compra de lingas para traslado de materiales, zapatos de seguridad para protección en trajos de bodega y otros. Compra de persianas para la Contraloría de Servicios. Compra de gorras, trajes de aplicación, sacos de propileno, mangas, banderas, hilos para coser, sacos de piola para la Estación EJN. Compra de botas de hule, cuerda para chapear, capas , delantales y otros en la Estación LD. </t>
  </si>
  <si>
    <t>Archivador madera, Trituradora de papel, Sillas ergonómicas, Escritorio, Abanicos de pared, Estantes mini rack, Sillas para día de campo, Pantalla interactiva para uso sala reuniones, Aires acondicionados, Ventilador industrial, 6 Sillas giratorias ergonómicas, Escritorio de oficina, Sumadoras de escritorio. Para la DAF, Estación Experimental de Quepos, Los Diamantes, Dpto de Investigación y Servicios Técnicos.. Compra de silla ergonómica para la Auditoría Interna.</t>
  </si>
  <si>
    <t>Compra de Scanner empresarial de alto volumen, UPS para computadoras (1000 vatios 500 w), UPS para computadoras (1500 vatios 840 w),  Discos duros externo de 2TB, Disco duro externo de 5TB, Computadoras portátiles, Impresoras a colores, Impresora multifuncional  laser color, Computadoras de escritorio, Router inalámbrico para internet, switchs para distribución de la red del INTA. Para la DAF, Estación Experimental de Quepos, Estación Experimental EJN, Los Diamantes, Dpto de Investigación, Laboratorio de suelos, Laboratorio de Fitoprotección y Dirección Ejecutiva, Contraloria de Servicios.</t>
  </si>
  <si>
    <t>Construcción de Sala de Capacitación en la Estación Experimental Enrique Jiménez Nuñez, con capacidad para 50 personas.</t>
  </si>
  <si>
    <t>Contratación de servicios de laboratorio para exámenes de colinesterasa y andrológicos para animales. Contratación de servicios especificos, tales como diagnósticos médicos reproductivos de semovientes, FIV y androloía. Analisis de muestras en laboratorios externos (Secuenciación, microscopía electronica, etc) Laboratorio de Fotopretección</t>
  </si>
  <si>
    <t>Recursos destinados a obras de infraestructura Decreto N° 40295-H (Ampliación del gasto presupuestario máximo 2017 para el Instituto Nacional de Innovación y Tranasferencia en Tecnoligía Agropecuria, INTA).</t>
  </si>
  <si>
    <t>Transporte dentro del país</t>
  </si>
  <si>
    <t>SERVICIOS DIVERSOS</t>
  </si>
  <si>
    <t>1.05</t>
  </si>
  <si>
    <t>1.08</t>
  </si>
  <si>
    <t>1.99</t>
  </si>
  <si>
    <t>2.01</t>
  </si>
  <si>
    <t>Equipo y mobiliario educacional, deportivo y recreativo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</si>
</sst>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2" x14ac:knownFonts="1">
    <font>
      <sz val="10"/>
      <name val="Arial"/>
    </font>
    <font>
      <sz val="10"/>
      <name val="Arial"/>
      <family val="2"/>
    </font>
    <font>
      <sz val="8"/>
      <name val="Arial"/>
      <family val="2"/>
    </font>
    <font>
      <b/>
      <sz val="8"/>
      <name val="Arial"/>
      <family val="2"/>
    </font>
    <font>
      <b/>
      <u/>
      <sz val="8"/>
      <name val="Arial"/>
      <family val="2"/>
    </font>
    <font>
      <b/>
      <sz val="8"/>
      <name val="Arial"/>
      <family val="2"/>
    </font>
    <font>
      <sz val="8"/>
      <name val="Arial"/>
      <family val="2"/>
    </font>
    <font>
      <b/>
      <sz val="10"/>
      <name val="Arial"/>
      <family val="2"/>
    </font>
    <font>
      <sz val="10"/>
      <name val="Arial"/>
      <family val="2"/>
    </font>
    <font>
      <sz val="10"/>
      <color rgb="FFFF0000"/>
      <name val="Arial"/>
      <family val="2"/>
    </font>
    <font>
      <sz val="8"/>
      <color rgb="FFFF0000"/>
      <name val="Arial"/>
      <family val="2"/>
    </font>
    <font>
      <sz val="8"/>
      <color theme="8" tint="-0.499984740745262"/>
      <name val="Arial"/>
      <family val="2"/>
    </font>
  </fonts>
  <fills count="1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rgb="FF99CC0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CCF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164" fontId="8" fillId="0" borderId="0" applyFont="0" applyFill="0" applyBorder="0" applyAlignment="0" applyProtection="0"/>
    <xf numFmtId="0" fontId="8" fillId="0" borderId="0"/>
  </cellStyleXfs>
  <cellXfs count="380">
    <xf numFmtId="0" fontId="0" fillId="0" borderId="0" xfId="0"/>
    <xf numFmtId="0" fontId="2" fillId="0" borderId="0" xfId="0" applyFont="1"/>
    <xf numFmtId="0" fontId="3" fillId="0" borderId="0" xfId="0" applyFont="1"/>
    <xf numFmtId="4" fontId="2" fillId="0" borderId="0" xfId="0" applyNumberFormat="1" applyFont="1"/>
    <xf numFmtId="0" fontId="4" fillId="0" borderId="2" xfId="0" applyFont="1" applyBorder="1"/>
    <xf numFmtId="0" fontId="3" fillId="0" borderId="3" xfId="0" applyFont="1" applyBorder="1"/>
    <xf numFmtId="0" fontId="3" fillId="0" borderId="4" xfId="0" applyFont="1" applyBorder="1"/>
    <xf numFmtId="0" fontId="2" fillId="0" borderId="4" xfId="0" applyFont="1" applyBorder="1"/>
    <xf numFmtId="0" fontId="2" fillId="0" borderId="5" xfId="0" applyFont="1" applyBorder="1"/>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xf numFmtId="4" fontId="3" fillId="0" borderId="10" xfId="0" applyNumberFormat="1" applyFont="1" applyBorder="1"/>
    <xf numFmtId="4" fontId="2" fillId="0" borderId="10" xfId="0" applyNumberFormat="1" applyFont="1" applyBorder="1"/>
    <xf numFmtId="4" fontId="2" fillId="0" borderId="11" xfId="0" applyNumberFormat="1" applyFont="1" applyBorder="1"/>
    <xf numFmtId="0" fontId="3" fillId="0" borderId="12" xfId="0" applyFont="1" applyBorder="1" applyAlignment="1">
      <alignment horizontal="center"/>
    </xf>
    <xf numFmtId="0" fontId="3" fillId="0" borderId="13" xfId="0" applyFont="1" applyBorder="1"/>
    <xf numFmtId="4" fontId="3" fillId="0" borderId="14" xfId="0" applyNumberFormat="1" applyFont="1" applyBorder="1"/>
    <xf numFmtId="0" fontId="3" fillId="0" borderId="0" xfId="0" applyFont="1" applyAlignment="1"/>
    <xf numFmtId="0" fontId="3" fillId="0" borderId="15" xfId="0" applyFont="1" applyBorder="1" applyAlignment="1">
      <alignment horizontal="center" vertical="center" wrapText="1"/>
    </xf>
    <xf numFmtId="0" fontId="5" fillId="2" borderId="5" xfId="0" applyFont="1" applyFill="1" applyBorder="1" applyAlignment="1">
      <alignment horizontal="center"/>
    </xf>
    <xf numFmtId="0" fontId="5" fillId="2" borderId="19" xfId="0" applyFont="1" applyFill="1" applyBorder="1" applyAlignment="1">
      <alignment horizontal="center"/>
    </xf>
    <xf numFmtId="0" fontId="5" fillId="2" borderId="1" xfId="0" applyFont="1" applyFill="1" applyBorder="1" applyAlignment="1">
      <alignment horizontal="center"/>
    </xf>
    <xf numFmtId="0" fontId="5" fillId="2" borderId="20" xfId="0" applyFont="1" applyFill="1" applyBorder="1" applyAlignment="1">
      <alignment horizontal="center"/>
    </xf>
    <xf numFmtId="0" fontId="2" fillId="2" borderId="1" xfId="0" applyFont="1" applyFill="1" applyBorder="1" applyAlignment="1">
      <alignment horizontal="center"/>
    </xf>
    <xf numFmtId="0" fontId="2" fillId="2" borderId="20" xfId="0" applyFont="1" applyFill="1" applyBorder="1" applyAlignment="1">
      <alignment horizontal="center"/>
    </xf>
    <xf numFmtId="0" fontId="2" fillId="0" borderId="1" xfId="0" applyFont="1" applyFill="1" applyBorder="1" applyAlignment="1">
      <alignment horizontal="center"/>
    </xf>
    <xf numFmtId="0" fontId="5" fillId="0" borderId="1" xfId="0" applyFont="1" applyFill="1" applyBorder="1" applyAlignment="1">
      <alignment horizontal="center"/>
    </xf>
    <xf numFmtId="0" fontId="2" fillId="2" borderId="3" xfId="0" applyFont="1" applyFill="1" applyBorder="1" applyAlignment="1">
      <alignment horizontal="center"/>
    </xf>
    <xf numFmtId="0" fontId="2" fillId="2" borderId="21" xfId="0" applyFont="1" applyFill="1" applyBorder="1" applyAlignment="1">
      <alignment horizontal="center"/>
    </xf>
    <xf numFmtId="0" fontId="5" fillId="2" borderId="22" xfId="0" applyFont="1" applyFill="1" applyBorder="1" applyAlignment="1">
      <alignment horizontal="center"/>
    </xf>
    <xf numFmtId="0" fontId="0" fillId="0" borderId="0" xfId="0" applyFill="1"/>
    <xf numFmtId="0" fontId="2" fillId="2" borderId="1"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0" xfId="0" applyFont="1" applyFill="1" applyBorder="1" applyAlignment="1">
      <alignment horizontal="center" vertical="center" wrapText="1"/>
    </xf>
    <xf numFmtId="0" fontId="3" fillId="0" borderId="0" xfId="0" applyFont="1" applyAlignment="1">
      <alignment vertical="center" wrapText="1"/>
    </xf>
    <xf numFmtId="0" fontId="3" fillId="2" borderId="1" xfId="0" applyFont="1" applyFill="1" applyBorder="1" applyAlignment="1">
      <alignment horizontal="center" vertical="center"/>
    </xf>
    <xf numFmtId="0" fontId="5" fillId="2" borderId="20" xfId="0" applyFont="1" applyFill="1" applyBorder="1" applyAlignment="1">
      <alignment horizontal="center" vertical="center" wrapText="1"/>
    </xf>
    <xf numFmtId="0" fontId="3" fillId="2" borderId="1" xfId="0" applyFont="1" applyFill="1" applyBorder="1" applyAlignment="1">
      <alignment horizontal="center"/>
    </xf>
    <xf numFmtId="0" fontId="3" fillId="2" borderId="20" xfId="0" applyFont="1" applyFill="1" applyBorder="1" applyAlignment="1">
      <alignment horizontal="center"/>
    </xf>
    <xf numFmtId="0" fontId="2" fillId="0" borderId="20" xfId="0" applyFont="1" applyFill="1" applyBorder="1" applyAlignment="1">
      <alignment horizontal="center"/>
    </xf>
    <xf numFmtId="0" fontId="6" fillId="2" borderId="1" xfId="0" applyFont="1" applyFill="1" applyBorder="1" applyAlignment="1">
      <alignment horizontal="center"/>
    </xf>
    <xf numFmtId="0" fontId="6" fillId="2" borderId="20" xfId="0" applyFont="1" applyFill="1" applyBorder="1" applyAlignment="1">
      <alignment horizontal="center"/>
    </xf>
    <xf numFmtId="0" fontId="5" fillId="2" borderId="21" xfId="0" applyFont="1" applyFill="1" applyBorder="1" applyAlignment="1">
      <alignment horizontal="center" vertical="center" wrapText="1"/>
    </xf>
    <xf numFmtId="0" fontId="5" fillId="0" borderId="21" xfId="0" applyFont="1" applyFill="1" applyBorder="1" applyAlignment="1">
      <alignment horizontal="center" vertical="center" wrapText="1"/>
    </xf>
    <xf numFmtId="164" fontId="3" fillId="0" borderId="5" xfId="1" applyFont="1" applyFill="1" applyBorder="1"/>
    <xf numFmtId="164" fontId="3" fillId="0" borderId="1" xfId="1" applyFont="1" applyFill="1" applyBorder="1"/>
    <xf numFmtId="164" fontId="2" fillId="0" borderId="1" xfId="1" applyFont="1" applyFill="1" applyBorder="1"/>
    <xf numFmtId="164" fontId="3" fillId="0" borderId="1" xfId="1" applyFont="1" applyFill="1" applyBorder="1" applyAlignment="1">
      <alignment horizontal="center" vertical="center"/>
    </xf>
    <xf numFmtId="164" fontId="2" fillId="0" borderId="1" xfId="1" applyFont="1" applyFill="1" applyBorder="1" applyAlignment="1">
      <alignment horizontal="center" vertical="center"/>
    </xf>
    <xf numFmtId="164" fontId="2" fillId="0" borderId="24" xfId="1" applyFont="1" applyFill="1" applyBorder="1"/>
    <xf numFmtId="164" fontId="5" fillId="0" borderId="21" xfId="1" applyFont="1" applyFill="1" applyBorder="1"/>
    <xf numFmtId="0" fontId="2" fillId="0" borderId="9" xfId="0" applyFont="1" applyFill="1" applyBorder="1"/>
    <xf numFmtId="0" fontId="2" fillId="0" borderId="25" xfId="0" applyFont="1" applyFill="1" applyBorder="1"/>
    <xf numFmtId="4" fontId="2" fillId="0" borderId="10" xfId="0" applyNumberFormat="1" applyFont="1" applyFill="1" applyBorder="1"/>
    <xf numFmtId="0" fontId="4" fillId="0" borderId="4" xfId="0" applyFont="1" applyBorder="1"/>
    <xf numFmtId="4" fontId="3" fillId="0" borderId="10" xfId="0" applyNumberFormat="1" applyFont="1" applyFill="1" applyBorder="1"/>
    <xf numFmtId="4" fontId="0" fillId="0" borderId="0" xfId="0" applyNumberFormat="1"/>
    <xf numFmtId="0" fontId="0" fillId="0" borderId="0" xfId="0" applyBorder="1"/>
    <xf numFmtId="0" fontId="2" fillId="2" borderId="13" xfId="0" applyFont="1" applyFill="1" applyBorder="1" applyAlignment="1">
      <alignment horizontal="center"/>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left" vertical="center" wrapText="1"/>
    </xf>
    <xf numFmtId="0" fontId="3" fillId="0" borderId="9" xfId="0" applyFont="1" applyBorder="1" applyAlignment="1">
      <alignment horizontal="left" vertical="center" wrapText="1"/>
    </xf>
    <xf numFmtId="0" fontId="6" fillId="0" borderId="9" xfId="0" applyFont="1" applyBorder="1"/>
    <xf numFmtId="0" fontId="4" fillId="0" borderId="26" xfId="0" applyFont="1" applyBorder="1"/>
    <xf numFmtId="4" fontId="4" fillId="0" borderId="10" xfId="0" applyNumberFormat="1" applyFont="1" applyBorder="1"/>
    <xf numFmtId="0" fontId="3" fillId="0" borderId="4" xfId="0" applyFont="1" applyFill="1" applyBorder="1"/>
    <xf numFmtId="0" fontId="3" fillId="0" borderId="0" xfId="0" applyFont="1" applyAlignment="1">
      <alignment horizontal="center" vertical="center" wrapText="1"/>
    </xf>
    <xf numFmtId="0" fontId="6" fillId="0" borderId="4" xfId="0" applyFont="1" applyBorder="1" applyAlignment="1">
      <alignment wrapText="1"/>
    </xf>
    <xf numFmtId="0" fontId="6" fillId="0" borderId="4" xfId="0" applyFont="1" applyBorder="1" applyAlignment="1">
      <alignment vertical="center" wrapText="1"/>
    </xf>
    <xf numFmtId="0" fontId="3" fillId="0" borderId="4" xfId="0" applyFont="1" applyBorder="1" applyAlignment="1">
      <alignment wrapText="1"/>
    </xf>
    <xf numFmtId="0" fontId="3" fillId="0" borderId="9" xfId="0" applyFont="1" applyBorder="1" applyAlignment="1">
      <alignment vertical="center"/>
    </xf>
    <xf numFmtId="0" fontId="4" fillId="0" borderId="4" xfId="0" applyFont="1" applyBorder="1" applyAlignment="1">
      <alignment wrapText="1"/>
    </xf>
    <xf numFmtId="0" fontId="3" fillId="0" borderId="26" xfId="0" applyFont="1" applyBorder="1"/>
    <xf numFmtId="0" fontId="6" fillId="0" borderId="26" xfId="0" applyFont="1" applyBorder="1"/>
    <xf numFmtId="4" fontId="4" fillId="0" borderId="10" xfId="0" applyNumberFormat="1" applyFont="1" applyFill="1" applyBorder="1"/>
    <xf numFmtId="0" fontId="6" fillId="0" borderId="26" xfId="0" applyFont="1" applyBorder="1" applyAlignment="1">
      <alignment vertical="center" wrapText="1"/>
    </xf>
    <xf numFmtId="4" fontId="3" fillId="0" borderId="3" xfId="0" applyNumberFormat="1" applyFont="1" applyBorder="1"/>
    <xf numFmtId="0" fontId="3" fillId="0" borderId="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xf numFmtId="0" fontId="6" fillId="0" borderId="3" xfId="0" applyFont="1" applyBorder="1" applyAlignment="1">
      <alignment vertical="center" wrapText="1"/>
    </xf>
    <xf numFmtId="4" fontId="6" fillId="0" borderId="4" xfId="0" applyNumberFormat="1" applyFont="1" applyFill="1" applyBorder="1"/>
    <xf numFmtId="0" fontId="6" fillId="0" borderId="3" xfId="0" applyFont="1" applyBorder="1"/>
    <xf numFmtId="0" fontId="6" fillId="0" borderId="0" xfId="0" applyFont="1" applyBorder="1" applyAlignment="1">
      <alignment wrapText="1"/>
    </xf>
    <xf numFmtId="0" fontId="2" fillId="0" borderId="9" xfId="0" applyFont="1" applyFill="1" applyBorder="1" applyAlignment="1">
      <alignment vertical="center"/>
    </xf>
    <xf numFmtId="0" fontId="2" fillId="0" borderId="4" xfId="0" applyFont="1" applyBorder="1" applyAlignment="1">
      <alignment vertical="center"/>
    </xf>
    <xf numFmtId="4" fontId="3" fillId="0" borderId="27" xfId="0" applyNumberFormat="1" applyFont="1" applyBorder="1"/>
    <xf numFmtId="4" fontId="2" fillId="0" borderId="29" xfId="0" applyNumberFormat="1" applyFont="1" applyBorder="1"/>
    <xf numFmtId="0" fontId="7" fillId="0" borderId="0" xfId="0" applyFont="1"/>
    <xf numFmtId="0" fontId="2" fillId="0" borderId="24"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3" xfId="0" applyFont="1" applyBorder="1"/>
    <xf numFmtId="0" fontId="2" fillId="0" borderId="19" xfId="0" applyFont="1" applyBorder="1"/>
    <xf numFmtId="4" fontId="3" fillId="0" borderId="21" xfId="0" applyNumberFormat="1" applyFont="1" applyBorder="1"/>
    <xf numFmtId="164" fontId="5" fillId="3" borderId="21" xfId="1" applyFont="1" applyFill="1" applyBorder="1"/>
    <xf numFmtId="4" fontId="3" fillId="0" borderId="17" xfId="0" applyNumberFormat="1" applyFont="1" applyBorder="1"/>
    <xf numFmtId="164" fontId="6" fillId="0" borderId="0" xfId="1" applyFont="1" applyFill="1" applyBorder="1"/>
    <xf numFmtId="164" fontId="0" fillId="0" borderId="0" xfId="0" applyNumberFormat="1"/>
    <xf numFmtId="0" fontId="2" fillId="0" borderId="20" xfId="0" applyFont="1" applyFill="1" applyBorder="1" applyAlignment="1">
      <alignment horizontal="left" vertical="center" wrapText="1"/>
    </xf>
    <xf numFmtId="0" fontId="5" fillId="2" borderId="5" xfId="0" applyFont="1" applyFill="1" applyBorder="1" applyAlignment="1">
      <alignment horizontal="center" vertical="center"/>
    </xf>
    <xf numFmtId="0" fontId="5"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20" xfId="0" applyFont="1" applyFill="1" applyBorder="1" applyAlignment="1">
      <alignment horizontal="center" vertical="center"/>
    </xf>
    <xf numFmtId="0" fontId="6" fillId="2" borderId="1" xfId="0" applyFont="1" applyFill="1" applyBorder="1" applyAlignment="1">
      <alignment horizontal="center" vertical="center"/>
    </xf>
    <xf numFmtId="0" fontId="2" fillId="2" borderId="13" xfId="0" applyFont="1" applyFill="1" applyBorder="1" applyAlignment="1">
      <alignment horizontal="center" vertical="center"/>
    </xf>
    <xf numFmtId="164" fontId="3" fillId="0" borderId="5" xfId="1" applyFont="1" applyFill="1" applyBorder="1" applyAlignment="1">
      <alignment vertical="center"/>
    </xf>
    <xf numFmtId="164" fontId="3" fillId="0" borderId="1" xfId="1" applyFont="1" applyFill="1" applyBorder="1" applyAlignment="1">
      <alignment vertical="center"/>
    </xf>
    <xf numFmtId="164" fontId="2" fillId="0" borderId="1" xfId="1" applyFont="1" applyFill="1" applyBorder="1" applyAlignment="1">
      <alignment vertical="center"/>
    </xf>
    <xf numFmtId="164" fontId="6" fillId="0" borderId="1" xfId="1" applyFont="1" applyFill="1" applyBorder="1" applyAlignment="1">
      <alignment vertical="center"/>
    </xf>
    <xf numFmtId="164" fontId="2" fillId="0" borderId="24" xfId="1" applyFont="1" applyFill="1" applyBorder="1" applyAlignment="1">
      <alignment vertical="center"/>
    </xf>
    <xf numFmtId="0" fontId="2" fillId="0" borderId="0" xfId="0" applyFont="1" applyFill="1" applyBorder="1"/>
    <xf numFmtId="0" fontId="2" fillId="0" borderId="0" xfId="0" applyFont="1" applyBorder="1"/>
    <xf numFmtId="0" fontId="0" fillId="0" borderId="0" xfId="0" applyAlignment="1">
      <alignment vertical="center"/>
    </xf>
    <xf numFmtId="0" fontId="3" fillId="0" borderId="30" xfId="0" applyFont="1" applyBorder="1" applyAlignment="1">
      <alignment horizontal="center" vertical="center" wrapText="1"/>
    </xf>
    <xf numFmtId="0" fontId="5" fillId="0" borderId="22" xfId="0" applyFont="1" applyFill="1" applyBorder="1" applyAlignment="1">
      <alignment horizontal="center"/>
    </xf>
    <xf numFmtId="0" fontId="2" fillId="0" borderId="0" xfId="0" applyFont="1" applyFill="1"/>
    <xf numFmtId="0" fontId="2" fillId="0" borderId="20" xfId="0" applyFont="1" applyFill="1" applyBorder="1" applyAlignment="1">
      <alignment horizontal="center" vertical="center" wrapText="1"/>
    </xf>
    <xf numFmtId="0" fontId="3" fillId="0" borderId="20" xfId="0" applyFont="1" applyFill="1" applyBorder="1" applyAlignment="1">
      <alignment horizontal="center"/>
    </xf>
    <xf numFmtId="0" fontId="6" fillId="0" borderId="20" xfId="0" applyFont="1" applyFill="1" applyBorder="1" applyAlignment="1">
      <alignment horizontal="center"/>
    </xf>
    <xf numFmtId="164" fontId="0" fillId="0" borderId="0" xfId="0" applyNumberFormat="1" applyFill="1"/>
    <xf numFmtId="4" fontId="2" fillId="0" borderId="33" xfId="0" applyNumberFormat="1" applyFont="1" applyBorder="1" applyAlignment="1">
      <alignment vertical="center"/>
    </xf>
    <xf numFmtId="0" fontId="2" fillId="0" borderId="4" xfId="0" applyFont="1" applyFill="1" applyBorder="1"/>
    <xf numFmtId="4" fontId="2" fillId="0" borderId="10" xfId="0" applyNumberFormat="1" applyFont="1" applyBorder="1" applyAlignment="1">
      <alignment vertical="center"/>
    </xf>
    <xf numFmtId="4" fontId="3" fillId="0" borderId="10" xfId="0" applyNumberFormat="1" applyFont="1" applyBorder="1" applyAlignment="1">
      <alignment vertical="center"/>
    </xf>
    <xf numFmtId="4" fontId="3" fillId="0" borderId="24" xfId="0" applyNumberFormat="1" applyFont="1" applyBorder="1" applyAlignment="1">
      <alignment vertical="center"/>
    </xf>
    <xf numFmtId="0" fontId="0" fillId="0" borderId="36" xfId="0" applyBorder="1" applyAlignment="1">
      <alignment vertical="center"/>
    </xf>
    <xf numFmtId="0" fontId="0" fillId="0" borderId="24" xfId="0" applyBorder="1" applyAlignment="1">
      <alignment vertical="center"/>
    </xf>
    <xf numFmtId="0" fontId="0" fillId="0" borderId="2" xfId="0" applyBorder="1" applyAlignment="1">
      <alignment vertical="center"/>
    </xf>
    <xf numFmtId="0" fontId="0" fillId="0" borderId="29" xfId="0" applyBorder="1" applyAlignment="1">
      <alignment vertical="center"/>
    </xf>
    <xf numFmtId="0" fontId="0" fillId="0" borderId="35"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10" xfId="0" applyBorder="1" applyAlignment="1">
      <alignment vertical="center"/>
    </xf>
    <xf numFmtId="4" fontId="4" fillId="0" borderId="4" xfId="0" applyNumberFormat="1" applyFont="1" applyBorder="1" applyAlignment="1">
      <alignment vertical="center"/>
    </xf>
    <xf numFmtId="4" fontId="2" fillId="0" borderId="35" xfId="0" applyNumberFormat="1" applyFont="1" applyBorder="1" applyAlignment="1">
      <alignment vertical="center"/>
    </xf>
    <xf numFmtId="4" fontId="2" fillId="0" borderId="4" xfId="0" applyNumberFormat="1" applyFont="1" applyBorder="1" applyAlignment="1">
      <alignment vertical="center"/>
    </xf>
    <xf numFmtId="4" fontId="2" fillId="0" borderId="3" xfId="0" applyNumberFormat="1" applyFont="1" applyBorder="1" applyAlignment="1">
      <alignment vertical="center"/>
    </xf>
    <xf numFmtId="4" fontId="3" fillId="0" borderId="4" xfId="0" applyNumberFormat="1" applyFont="1" applyBorder="1" applyAlignment="1">
      <alignment vertical="center"/>
    </xf>
    <xf numFmtId="4" fontId="3" fillId="0" borderId="4" xfId="0" applyNumberFormat="1" applyFont="1" applyFill="1" applyBorder="1" applyAlignment="1">
      <alignment vertical="center"/>
    </xf>
    <xf numFmtId="4" fontId="2" fillId="0" borderId="4" xfId="0" applyNumberFormat="1" applyFont="1" applyFill="1" applyBorder="1" applyAlignment="1">
      <alignment vertical="center"/>
    </xf>
    <xf numFmtId="4" fontId="4" fillId="0" borderId="4" xfId="0" applyNumberFormat="1" applyFont="1" applyFill="1" applyBorder="1" applyAlignment="1">
      <alignment vertical="center"/>
    </xf>
    <xf numFmtId="4" fontId="3" fillId="0" borderId="3" xfId="0" applyNumberFormat="1" applyFont="1" applyBorder="1" applyAlignment="1">
      <alignment vertical="center"/>
    </xf>
    <xf numFmtId="4" fontId="4" fillId="0" borderId="3" xfId="0" applyNumberFormat="1" applyFont="1" applyBorder="1" applyAlignment="1">
      <alignment vertical="center"/>
    </xf>
    <xf numFmtId="4" fontId="3" fillId="0" borderId="3" xfId="0" applyNumberFormat="1" applyFont="1" applyFill="1" applyBorder="1" applyAlignment="1">
      <alignment vertical="center"/>
    </xf>
    <xf numFmtId="4" fontId="2" fillId="0" borderId="3" xfId="0" applyNumberFormat="1" applyFont="1" applyFill="1" applyBorder="1" applyAlignment="1">
      <alignment vertical="center"/>
    </xf>
    <xf numFmtId="4" fontId="4" fillId="0" borderId="3" xfId="0" applyNumberFormat="1" applyFont="1" applyFill="1" applyBorder="1" applyAlignment="1">
      <alignment vertical="center"/>
    </xf>
    <xf numFmtId="4" fontId="4" fillId="0" borderId="10" xfId="0" applyNumberFormat="1" applyFont="1" applyBorder="1" applyAlignment="1">
      <alignment vertical="center"/>
    </xf>
    <xf numFmtId="4" fontId="2" fillId="0" borderId="10" xfId="0" applyNumberFormat="1" applyFont="1" applyFill="1" applyBorder="1" applyAlignment="1">
      <alignment vertical="center"/>
    </xf>
    <xf numFmtId="0" fontId="2" fillId="0" borderId="26" xfId="0" applyFont="1" applyBorder="1" applyAlignment="1">
      <alignment vertical="center"/>
    </xf>
    <xf numFmtId="0" fontId="7" fillId="0" borderId="0" xfId="0" applyFont="1" applyFill="1"/>
    <xf numFmtId="0" fontId="6" fillId="0" borderId="1" xfId="0" applyFont="1" applyFill="1" applyBorder="1" applyAlignment="1">
      <alignment horizontal="center"/>
    </xf>
    <xf numFmtId="0" fontId="3" fillId="0" borderId="1" xfId="0" applyFont="1" applyFill="1" applyBorder="1" applyAlignment="1">
      <alignment horizontal="center"/>
    </xf>
    <xf numFmtId="0" fontId="6" fillId="0" borderId="1" xfId="0" applyFont="1" applyFill="1" applyBorder="1" applyAlignment="1">
      <alignment horizontal="center" vertical="center"/>
    </xf>
    <xf numFmtId="0" fontId="4" fillId="0" borderId="4" xfId="0" applyFont="1" applyBorder="1" applyAlignment="1">
      <alignment horizontal="left" vertical="center" wrapText="1"/>
    </xf>
    <xf numFmtId="0" fontId="2" fillId="0" borderId="4" xfId="0" applyFont="1" applyBorder="1" applyAlignment="1">
      <alignment wrapText="1"/>
    </xf>
    <xf numFmtId="164" fontId="5" fillId="4" borderId="21" xfId="1" applyFont="1" applyFill="1" applyBorder="1"/>
    <xf numFmtId="0" fontId="3" fillId="5" borderId="21" xfId="0" applyFont="1" applyFill="1" applyBorder="1" applyAlignment="1">
      <alignment horizontal="center" vertical="center" wrapText="1"/>
    </xf>
    <xf numFmtId="164" fontId="5" fillId="5" borderId="21" xfId="1" applyFont="1" applyFill="1" applyBorder="1"/>
    <xf numFmtId="0" fontId="2" fillId="0" borderId="26" xfId="0" applyFont="1" applyBorder="1" applyAlignment="1">
      <alignment vertical="center" wrapText="1"/>
    </xf>
    <xf numFmtId="0" fontId="1" fillId="0" borderId="0" xfId="0" applyFont="1" applyFill="1"/>
    <xf numFmtId="164" fontId="9" fillId="0" borderId="0" xfId="0" applyNumberFormat="1" applyFont="1"/>
    <xf numFmtId="0" fontId="2" fillId="0" borderId="4" xfId="0" applyFont="1" applyBorder="1" applyAlignment="1">
      <alignment vertical="center" wrapText="1"/>
    </xf>
    <xf numFmtId="0" fontId="6" fillId="0" borderId="4" xfId="0" applyFont="1" applyBorder="1"/>
    <xf numFmtId="0" fontId="3" fillId="0" borderId="0" xfId="0" applyFont="1" applyAlignment="1">
      <alignment horizontal="center" vertical="center" wrapText="1"/>
    </xf>
    <xf numFmtId="164" fontId="5" fillId="6" borderId="21" xfId="1" applyFont="1" applyFill="1" applyBorder="1"/>
    <xf numFmtId="0" fontId="3" fillId="6" borderId="21" xfId="0" applyFont="1" applyFill="1" applyBorder="1" applyAlignment="1">
      <alignment horizontal="center" vertical="center" wrapText="1"/>
    </xf>
    <xf numFmtId="0" fontId="2" fillId="0" borderId="24" xfId="0" applyFont="1" applyBorder="1"/>
    <xf numFmtId="164" fontId="5" fillId="7" borderId="21" xfId="1" applyFont="1" applyFill="1" applyBorder="1"/>
    <xf numFmtId="0" fontId="3" fillId="0" borderId="20" xfId="0" applyFont="1" applyFill="1" applyBorder="1" applyAlignment="1">
      <alignment horizontal="left" vertical="center" wrapText="1"/>
    </xf>
    <xf numFmtId="0" fontId="2" fillId="0" borderId="0" xfId="0" applyFont="1" applyFill="1" applyBorder="1" applyAlignment="1">
      <alignment horizontal="left"/>
    </xf>
    <xf numFmtId="0" fontId="3" fillId="0" borderId="16" xfId="0" applyFont="1" applyBorder="1" applyAlignment="1">
      <alignment horizontal="center" vertical="center" wrapText="1"/>
    </xf>
    <xf numFmtId="0" fontId="3" fillId="0" borderId="0" xfId="0" applyFont="1" applyAlignment="1">
      <alignment horizontal="center"/>
    </xf>
    <xf numFmtId="0" fontId="3" fillId="0" borderId="17"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5" xfId="0" applyFont="1" applyBorder="1" applyAlignment="1">
      <alignment horizontal="center" vertical="center" wrapText="1"/>
    </xf>
    <xf numFmtId="4" fontId="3" fillId="0" borderId="36" xfId="0" applyNumberFormat="1" applyFont="1" applyBorder="1" applyAlignment="1">
      <alignment vertical="center"/>
    </xf>
    <xf numFmtId="4" fontId="4" fillId="0" borderId="35" xfId="0" applyNumberFormat="1" applyFont="1" applyBorder="1" applyAlignment="1">
      <alignment vertical="center"/>
    </xf>
    <xf numFmtId="4" fontId="3" fillId="0" borderId="35" xfId="0" applyNumberFormat="1" applyFont="1" applyBorder="1" applyAlignment="1">
      <alignment vertical="center"/>
    </xf>
    <xf numFmtId="4" fontId="3" fillId="0" borderId="35" xfId="0" applyNumberFormat="1" applyFont="1" applyFill="1" applyBorder="1" applyAlignment="1">
      <alignment vertical="center"/>
    </xf>
    <xf numFmtId="4" fontId="2" fillId="0" borderId="35" xfId="0" applyNumberFormat="1" applyFont="1" applyFill="1" applyBorder="1" applyAlignment="1">
      <alignment vertical="center"/>
    </xf>
    <xf numFmtId="4" fontId="4" fillId="0" borderId="35" xfId="0" applyNumberFormat="1" applyFont="1" applyFill="1" applyBorder="1" applyAlignment="1">
      <alignment vertical="center"/>
    </xf>
    <xf numFmtId="4" fontId="3" fillId="0" borderId="43" xfId="0" applyNumberFormat="1" applyFont="1" applyBorder="1" applyAlignment="1">
      <alignment horizontal="center"/>
    </xf>
    <xf numFmtId="4" fontId="2" fillId="0" borderId="43" xfId="0" applyNumberFormat="1" applyFont="1" applyBorder="1" applyAlignment="1">
      <alignment horizontal="center"/>
    </xf>
    <xf numFmtId="4" fontId="2" fillId="0" borderId="44" xfId="0" applyNumberFormat="1" applyFont="1" applyBorder="1" applyAlignment="1">
      <alignment horizontal="center"/>
    </xf>
    <xf numFmtId="4" fontId="3" fillId="0" borderId="2" xfId="0" applyNumberFormat="1" applyFont="1" applyBorder="1" applyAlignment="1">
      <alignment vertical="center"/>
    </xf>
    <xf numFmtId="4" fontId="3" fillId="0" borderId="37" xfId="0" applyNumberFormat="1" applyFont="1" applyBorder="1" applyAlignment="1">
      <alignment vertical="center"/>
    </xf>
    <xf numFmtId="0" fontId="0" fillId="0" borderId="50" xfId="0" applyBorder="1" applyAlignment="1">
      <alignment vertical="center"/>
    </xf>
    <xf numFmtId="0" fontId="0" fillId="0" borderId="33" xfId="0" applyBorder="1" applyAlignment="1">
      <alignment vertical="center"/>
    </xf>
    <xf numFmtId="4" fontId="4" fillId="0" borderId="26" xfId="0" applyNumberFormat="1" applyFont="1" applyBorder="1" applyAlignment="1">
      <alignment vertical="center"/>
    </xf>
    <xf numFmtId="4" fontId="3" fillId="0" borderId="26" xfId="0" applyNumberFormat="1" applyFont="1" applyBorder="1" applyAlignment="1">
      <alignment vertical="center"/>
    </xf>
    <xf numFmtId="4" fontId="2" fillId="0" borderId="26" xfId="0" applyNumberFormat="1" applyFont="1" applyBorder="1" applyAlignment="1">
      <alignment vertical="center"/>
    </xf>
    <xf numFmtId="4" fontId="3" fillId="0" borderId="26" xfId="0" applyNumberFormat="1" applyFont="1" applyFill="1" applyBorder="1" applyAlignment="1">
      <alignment vertical="center"/>
    </xf>
    <xf numFmtId="4" fontId="2" fillId="0" borderId="26" xfId="0" applyNumberFormat="1" applyFont="1" applyFill="1" applyBorder="1" applyAlignment="1">
      <alignment vertical="center"/>
    </xf>
    <xf numFmtId="4" fontId="4" fillId="0" borderId="26" xfId="0" applyNumberFormat="1" applyFont="1" applyFill="1" applyBorder="1" applyAlignment="1">
      <alignment vertical="center"/>
    </xf>
    <xf numFmtId="4" fontId="2" fillId="0" borderId="18" xfId="0" applyNumberFormat="1" applyFont="1" applyBorder="1" applyAlignment="1">
      <alignment horizontal="center"/>
    </xf>
    <xf numFmtId="0" fontId="0" fillId="0" borderId="37" xfId="0" applyBorder="1" applyAlignment="1">
      <alignment vertical="center"/>
    </xf>
    <xf numFmtId="0" fontId="0" fillId="0" borderId="26" xfId="0" applyBorder="1" applyAlignment="1">
      <alignment vertical="center"/>
    </xf>
    <xf numFmtId="0" fontId="0" fillId="0" borderId="51" xfId="0" applyBorder="1" applyAlignment="1">
      <alignment vertical="center"/>
    </xf>
    <xf numFmtId="0" fontId="0" fillId="0" borderId="9" xfId="0" applyBorder="1" applyAlignment="1">
      <alignment vertical="center"/>
    </xf>
    <xf numFmtId="4" fontId="2" fillId="0" borderId="9" xfId="0" applyNumberFormat="1" applyFont="1" applyBorder="1" applyAlignment="1">
      <alignment vertical="center"/>
    </xf>
    <xf numFmtId="0" fontId="3" fillId="0" borderId="54" xfId="0" applyFont="1" applyFill="1" applyBorder="1" applyAlignment="1">
      <alignment horizontal="center" vertical="center" wrapText="1"/>
    </xf>
    <xf numFmtId="0" fontId="0" fillId="0" borderId="54" xfId="0" applyBorder="1" applyAlignment="1">
      <alignment vertical="center"/>
    </xf>
    <xf numFmtId="0" fontId="0" fillId="0" borderId="48" xfId="0" applyBorder="1" applyAlignment="1">
      <alignment vertical="center"/>
    </xf>
    <xf numFmtId="4" fontId="3" fillId="0" borderId="48" xfId="0" applyNumberFormat="1" applyFont="1" applyBorder="1" applyAlignment="1">
      <alignment vertical="center"/>
    </xf>
    <xf numFmtId="4" fontId="3" fillId="0" borderId="48" xfId="0" applyNumberFormat="1" applyFont="1" applyBorder="1"/>
    <xf numFmtId="4" fontId="2" fillId="0" borderId="21" xfId="0" applyNumberFormat="1" applyFont="1" applyBorder="1"/>
    <xf numFmtId="4" fontId="3" fillId="0" borderId="21" xfId="0" applyNumberFormat="1" applyFont="1" applyBorder="1" applyAlignment="1"/>
    <xf numFmtId="164" fontId="2" fillId="0" borderId="26" xfId="0" applyNumberFormat="1" applyFont="1" applyBorder="1" applyAlignment="1">
      <alignment vertical="center"/>
    </xf>
    <xf numFmtId="164" fontId="4" fillId="0" borderId="26" xfId="0" applyNumberFormat="1" applyFont="1" applyBorder="1" applyAlignment="1">
      <alignment vertical="center"/>
    </xf>
    <xf numFmtId="164" fontId="3" fillId="0" borderId="26" xfId="0" applyNumberFormat="1" applyFont="1" applyBorder="1" applyAlignment="1">
      <alignment vertical="center"/>
    </xf>
    <xf numFmtId="164" fontId="3" fillId="0" borderId="26" xfId="0" applyNumberFormat="1" applyFont="1" applyFill="1" applyBorder="1" applyAlignment="1">
      <alignment vertical="center"/>
    </xf>
    <xf numFmtId="164" fontId="2" fillId="0" borderId="26" xfId="0" applyNumberFormat="1" applyFont="1" applyFill="1" applyBorder="1" applyAlignment="1">
      <alignment vertical="center"/>
    </xf>
    <xf numFmtId="164" fontId="4" fillId="0" borderId="26" xfId="0" applyNumberFormat="1" applyFont="1" applyFill="1" applyBorder="1" applyAlignment="1">
      <alignment vertical="center"/>
    </xf>
    <xf numFmtId="164" fontId="2" fillId="0" borderId="3" xfId="0" applyNumberFormat="1" applyFont="1" applyBorder="1" applyAlignment="1">
      <alignment vertical="center"/>
    </xf>
    <xf numFmtId="164" fontId="2" fillId="0" borderId="3" xfId="0" applyNumberFormat="1" applyFont="1" applyFill="1" applyBorder="1" applyAlignment="1">
      <alignment vertical="center"/>
    </xf>
    <xf numFmtId="164" fontId="3" fillId="0" borderId="48" xfId="0" applyNumberFormat="1" applyFont="1" applyBorder="1" applyAlignment="1">
      <alignment vertical="center"/>
    </xf>
    <xf numFmtId="0" fontId="3" fillId="7" borderId="21" xfId="0" applyFont="1" applyFill="1" applyBorder="1" applyAlignment="1">
      <alignment horizontal="center" vertical="center" wrapText="1"/>
    </xf>
    <xf numFmtId="0" fontId="3" fillId="3" borderId="21" xfId="0" applyFont="1" applyFill="1" applyBorder="1" applyAlignment="1">
      <alignment horizontal="center" vertical="center" wrapText="1"/>
    </xf>
    <xf numFmtId="164" fontId="11" fillId="0" borderId="0" xfId="0" applyNumberFormat="1" applyFont="1" applyFill="1"/>
    <xf numFmtId="164" fontId="10" fillId="0" borderId="0" xfId="0" applyNumberFormat="1" applyFont="1" applyFill="1"/>
    <xf numFmtId="4" fontId="2" fillId="0" borderId="33" xfId="0" applyNumberFormat="1" applyFont="1" applyFill="1" applyBorder="1" applyAlignment="1">
      <alignment vertical="center"/>
    </xf>
    <xf numFmtId="0" fontId="6" fillId="0" borderId="4" xfId="0" applyFont="1" applyFill="1" applyBorder="1" applyAlignment="1">
      <alignment wrapText="1"/>
    </xf>
    <xf numFmtId="0" fontId="6" fillId="0" borderId="9" xfId="0" applyFont="1" applyFill="1" applyBorder="1"/>
    <xf numFmtId="164" fontId="3" fillId="0" borderId="48" xfId="0" applyNumberFormat="1" applyFont="1" applyFill="1" applyBorder="1" applyAlignment="1">
      <alignment vertical="center"/>
    </xf>
    <xf numFmtId="0" fontId="6" fillId="0" borderId="26" xfId="0" applyFont="1" applyFill="1" applyBorder="1"/>
    <xf numFmtId="0" fontId="2" fillId="0" borderId="26" xfId="0" applyFont="1" applyFill="1" applyBorder="1" applyAlignment="1">
      <alignment vertical="center"/>
    </xf>
    <xf numFmtId="0" fontId="2" fillId="0" borderId="4" xfId="0" applyFont="1" applyFill="1" applyBorder="1" applyAlignment="1">
      <alignment vertical="center" wrapText="1"/>
    </xf>
    <xf numFmtId="0" fontId="2" fillId="0" borderId="4" xfId="0" applyFont="1" applyFill="1" applyBorder="1" applyAlignment="1">
      <alignment wrapText="1"/>
    </xf>
    <xf numFmtId="0" fontId="3" fillId="0" borderId="5"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20" xfId="0" applyNumberFormat="1" applyFont="1" applyFill="1" applyBorder="1" applyAlignment="1">
      <alignment horizontal="left" vertical="center" wrapText="1"/>
    </xf>
    <xf numFmtId="0" fontId="2" fillId="0" borderId="1" xfId="0" applyFont="1" applyFill="1" applyBorder="1" applyAlignment="1">
      <alignment vertical="center" wrapText="1"/>
    </xf>
    <xf numFmtId="0" fontId="2" fillId="0" borderId="3" xfId="0" applyFont="1" applyFill="1" applyBorder="1" applyAlignment="1">
      <alignment horizontal="left" vertical="center" wrapText="1"/>
    </xf>
    <xf numFmtId="164" fontId="2" fillId="0" borderId="30" xfId="1" applyFont="1" applyFill="1" applyBorder="1" applyAlignment="1">
      <alignment vertical="center"/>
    </xf>
    <xf numFmtId="164" fontId="0" fillId="0" borderId="0" xfId="1" applyFont="1"/>
    <xf numFmtId="164" fontId="0" fillId="0" borderId="0" xfId="1" applyFont="1" applyFill="1"/>
    <xf numFmtId="164" fontId="7" fillId="0" borderId="0" xfId="1" applyFont="1" applyFill="1"/>
    <xf numFmtId="164" fontId="1" fillId="0" borderId="0" xfId="1" applyFont="1" applyFill="1"/>
    <xf numFmtId="164" fontId="7" fillId="0" borderId="0" xfId="1" applyFont="1"/>
    <xf numFmtId="0" fontId="3" fillId="0" borderId="0" xfId="0" applyFont="1" applyAlignment="1">
      <alignment horizontal="center"/>
    </xf>
    <xf numFmtId="0" fontId="3" fillId="0" borderId="0" xfId="0" applyFont="1" applyAlignment="1">
      <alignment horizontal="center"/>
    </xf>
    <xf numFmtId="0" fontId="3" fillId="0" borderId="22" xfId="0" applyFont="1" applyBorder="1" applyAlignment="1">
      <alignment horizontal="center"/>
    </xf>
    <xf numFmtId="0" fontId="3" fillId="0" borderId="1" xfId="0" applyFont="1" applyBorder="1" applyAlignment="1">
      <alignment horizontal="center" vertical="center"/>
    </xf>
    <xf numFmtId="164" fontId="2" fillId="0" borderId="35" xfId="0" applyNumberFormat="1" applyFont="1" applyBorder="1" applyAlignment="1">
      <alignment vertical="center"/>
    </xf>
    <xf numFmtId="4" fontId="2" fillId="0" borderId="9" xfId="0" applyNumberFormat="1" applyFont="1" applyFill="1" applyBorder="1" applyAlignment="1">
      <alignment vertical="center"/>
    </xf>
    <xf numFmtId="0" fontId="5" fillId="0" borderId="9" xfId="0" applyFont="1" applyFill="1" applyBorder="1" applyAlignment="1">
      <alignment horizontal="left"/>
    </xf>
    <xf numFmtId="0" fontId="2" fillId="0" borderId="9" xfId="0" applyFont="1" applyFill="1" applyBorder="1" applyAlignment="1">
      <alignment horizontal="left"/>
    </xf>
    <xf numFmtId="0" fontId="6" fillId="0" borderId="9" xfId="0" applyFont="1" applyFill="1" applyBorder="1" applyAlignment="1">
      <alignment horizontal="left"/>
    </xf>
    <xf numFmtId="0" fontId="2" fillId="0" borderId="9" xfId="0" applyFont="1" applyFill="1" applyBorder="1" applyAlignment="1">
      <alignment horizontal="left" vertical="center"/>
    </xf>
    <xf numFmtId="164" fontId="2" fillId="0" borderId="9" xfId="0" applyNumberFormat="1" applyFont="1" applyFill="1" applyBorder="1" applyAlignment="1">
      <alignment vertical="center"/>
    </xf>
    <xf numFmtId="4" fontId="2" fillId="0" borderId="24" xfId="0" applyNumberFormat="1" applyFont="1" applyFill="1" applyBorder="1" applyAlignment="1">
      <alignment vertical="center"/>
    </xf>
    <xf numFmtId="0" fontId="3" fillId="0" borderId="4" xfId="0" applyFont="1" applyFill="1" applyBorder="1" applyAlignment="1">
      <alignment horizontal="left"/>
    </xf>
    <xf numFmtId="0" fontId="2" fillId="0" borderId="4" xfId="0" applyFont="1" applyFill="1" applyBorder="1" applyAlignment="1">
      <alignment horizontal="left"/>
    </xf>
    <xf numFmtId="0" fontId="2" fillId="0" borderId="4" xfId="0" applyFont="1" applyFill="1" applyBorder="1" applyAlignment="1">
      <alignment horizontal="left" vertical="center" wrapText="1"/>
    </xf>
    <xf numFmtId="164" fontId="2" fillId="0" borderId="4" xfId="0" applyNumberFormat="1" applyFont="1" applyFill="1" applyBorder="1" applyAlignment="1">
      <alignment vertical="center"/>
    </xf>
    <xf numFmtId="0" fontId="6" fillId="0" borderId="4" xfId="0" applyFont="1" applyFill="1" applyBorder="1" applyAlignment="1">
      <alignment horizontal="left"/>
    </xf>
    <xf numFmtId="4" fontId="3" fillId="0" borderId="45" xfId="0" applyNumberFormat="1" applyFont="1" applyBorder="1"/>
    <xf numFmtId="4" fontId="3" fillId="0" borderId="35" xfId="0" applyNumberFormat="1" applyFont="1" applyBorder="1"/>
    <xf numFmtId="164" fontId="3" fillId="0" borderId="35" xfId="0" applyNumberFormat="1" applyFont="1" applyBorder="1" applyAlignment="1">
      <alignment vertical="center"/>
    </xf>
    <xf numFmtId="0" fontId="6" fillId="0" borderId="0" xfId="0" applyFont="1" applyAlignment="1">
      <alignment horizontal="center"/>
    </xf>
    <xf numFmtId="0" fontId="2" fillId="0" borderId="9" xfId="0" applyFont="1" applyFill="1" applyBorder="1" applyAlignment="1">
      <alignment vertical="center" wrapText="1"/>
    </xf>
    <xf numFmtId="0" fontId="2" fillId="0" borderId="3" xfId="0" applyFont="1" applyFill="1" applyBorder="1" applyAlignment="1">
      <alignment wrapText="1"/>
    </xf>
    <xf numFmtId="0" fontId="5" fillId="12" borderId="21" xfId="0" applyFont="1" applyFill="1" applyBorder="1" applyAlignment="1">
      <alignment horizontal="center" vertical="center" wrapText="1"/>
    </xf>
    <xf numFmtId="164" fontId="5" fillId="12" borderId="21" xfId="1" applyFont="1" applyFill="1" applyBorder="1"/>
    <xf numFmtId="0" fontId="3" fillId="12" borderId="21" xfId="0" applyFont="1" applyFill="1" applyBorder="1" applyAlignment="1">
      <alignment horizontal="center" vertical="center" wrapText="1"/>
    </xf>
    <xf numFmtId="0" fontId="3" fillId="11" borderId="21" xfId="0" applyFont="1" applyFill="1" applyBorder="1" applyAlignment="1">
      <alignment horizontal="center" vertical="center" wrapText="1"/>
    </xf>
    <xf numFmtId="164" fontId="5" fillId="11" borderId="21" xfId="1" applyFont="1" applyFill="1" applyBorder="1"/>
    <xf numFmtId="0" fontId="3" fillId="10" borderId="21" xfId="0" applyFont="1" applyFill="1" applyBorder="1" applyAlignment="1">
      <alignment horizontal="center" vertical="center" wrapText="1"/>
    </xf>
    <xf numFmtId="164" fontId="5" fillId="10" borderId="21" xfId="1" applyFont="1" applyFill="1" applyBorder="1"/>
    <xf numFmtId="0" fontId="3" fillId="4" borderId="21" xfId="0" applyFont="1" applyFill="1" applyBorder="1" applyAlignment="1">
      <alignment horizontal="center" vertical="center" wrapText="1"/>
    </xf>
    <xf numFmtId="0" fontId="3" fillId="8" borderId="21" xfId="0" applyFont="1" applyFill="1" applyBorder="1" applyAlignment="1">
      <alignment horizontal="center" vertical="center" wrapText="1"/>
    </xf>
    <xf numFmtId="164" fontId="5" fillId="8" borderId="21" xfId="1" applyFont="1" applyFill="1" applyBorder="1"/>
    <xf numFmtId="0" fontId="3" fillId="9" borderId="21" xfId="0" applyFont="1" applyFill="1" applyBorder="1" applyAlignment="1">
      <alignment horizontal="center" vertical="center" wrapText="1"/>
    </xf>
    <xf numFmtId="164" fontId="5" fillId="9" borderId="21" xfId="1" applyFont="1" applyFill="1" applyBorder="1"/>
    <xf numFmtId="0" fontId="3" fillId="13" borderId="21" xfId="0" applyFont="1" applyFill="1" applyBorder="1" applyAlignment="1">
      <alignment horizontal="center" vertical="center" wrapText="1"/>
    </xf>
    <xf numFmtId="164" fontId="5" fillId="13" borderId="21" xfId="1" applyFont="1" applyFill="1" applyBorder="1"/>
    <xf numFmtId="0" fontId="3" fillId="14" borderId="21" xfId="0" applyFont="1" applyFill="1" applyBorder="1" applyAlignment="1">
      <alignment horizontal="center" vertical="center" wrapText="1"/>
    </xf>
    <xf numFmtId="164" fontId="5" fillId="14" borderId="21" xfId="1" applyFont="1" applyFill="1" applyBorder="1"/>
    <xf numFmtId="0" fontId="2" fillId="0" borderId="4" xfId="0" applyFont="1" applyBorder="1" applyAlignment="1">
      <alignment horizontal="center"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3" fillId="2" borderId="20" xfId="0" applyFont="1" applyFill="1" applyBorder="1" applyAlignment="1">
      <alignment horizontal="center" vertical="center"/>
    </xf>
    <xf numFmtId="0" fontId="3" fillId="0" borderId="20" xfId="0" applyFont="1" applyFill="1" applyBorder="1" applyAlignment="1">
      <alignment horizontal="center" vertical="center"/>
    </xf>
    <xf numFmtId="0" fontId="6" fillId="2" borderId="20" xfId="0" applyFont="1" applyFill="1" applyBorder="1" applyAlignment="1">
      <alignment horizontal="center" vertical="center"/>
    </xf>
    <xf numFmtId="0" fontId="6" fillId="0" borderId="20" xfId="0" applyFont="1" applyFill="1" applyBorder="1" applyAlignment="1">
      <alignment horizontal="center" vertical="center"/>
    </xf>
    <xf numFmtId="0" fontId="2" fillId="2" borderId="3" xfId="0" applyFont="1" applyFill="1" applyBorder="1" applyAlignment="1">
      <alignment horizontal="center" vertical="center"/>
    </xf>
    <xf numFmtId="0" fontId="5" fillId="2" borderId="22" xfId="0" applyFont="1" applyFill="1" applyBorder="1" applyAlignment="1">
      <alignment horizontal="center" vertical="center"/>
    </xf>
    <xf numFmtId="164" fontId="2" fillId="0" borderId="0" xfId="1" applyFont="1" applyFill="1"/>
    <xf numFmtId="164" fontId="7" fillId="0" borderId="0" xfId="0" applyNumberFormat="1" applyFont="1" applyFill="1"/>
    <xf numFmtId="164" fontId="2" fillId="0" borderId="0" xfId="0" applyNumberFormat="1" applyFont="1" applyFill="1"/>
    <xf numFmtId="0" fontId="11" fillId="0" borderId="0" xfId="0" applyFont="1" applyFill="1"/>
    <xf numFmtId="40" fontId="11" fillId="0" borderId="0" xfId="0" applyNumberFormat="1" applyFont="1" applyFill="1"/>
    <xf numFmtId="0" fontId="3" fillId="0" borderId="16" xfId="0" applyFont="1" applyBorder="1" applyAlignment="1">
      <alignment horizontal="center" vertical="center" wrapText="1"/>
    </xf>
    <xf numFmtId="0" fontId="3" fillId="0" borderId="17" xfId="0" applyFont="1" applyFill="1" applyBorder="1" applyAlignment="1">
      <alignment horizontal="center" vertical="center" wrapText="1"/>
    </xf>
    <xf numFmtId="0" fontId="3" fillId="0" borderId="1" xfId="0" applyFont="1" applyBorder="1" applyAlignment="1">
      <alignment horizontal="center" vertical="center" wrapText="1"/>
    </xf>
    <xf numFmtId="4" fontId="2" fillId="0" borderId="9" xfId="0" applyNumberFormat="1" applyFont="1" applyFill="1" applyBorder="1" applyAlignment="1">
      <alignment horizontal="left" vertical="center"/>
    </xf>
    <xf numFmtId="3" fontId="3" fillId="0" borderId="9" xfId="0" applyNumberFormat="1" applyFont="1" applyFill="1" applyBorder="1" applyAlignment="1">
      <alignment horizontal="left" vertical="center"/>
    </xf>
    <xf numFmtId="4" fontId="2" fillId="0" borderId="4" xfId="0" applyNumberFormat="1" applyFont="1" applyFill="1" applyBorder="1" applyAlignment="1">
      <alignment horizontal="left" vertical="center"/>
    </xf>
    <xf numFmtId="4" fontId="3" fillId="0" borderId="9" xfId="0" applyNumberFormat="1" applyFont="1" applyFill="1" applyBorder="1" applyAlignment="1">
      <alignment horizontal="left" vertical="center"/>
    </xf>
    <xf numFmtId="4" fontId="3" fillId="0" borderId="4" xfId="0" applyNumberFormat="1" applyFont="1" applyFill="1" applyBorder="1" applyAlignment="1">
      <alignment horizontal="left" vertical="center"/>
    </xf>
    <xf numFmtId="4" fontId="3" fillId="0" borderId="41" xfId="0" applyNumberFormat="1" applyFont="1" applyBorder="1"/>
    <xf numFmtId="4" fontId="3" fillId="0" borderId="49" xfId="0" applyNumberFormat="1" applyFont="1" applyBorder="1" applyAlignment="1"/>
    <xf numFmtId="4" fontId="3" fillId="0" borderId="27" xfId="0" applyNumberFormat="1" applyFont="1" applyBorder="1" applyAlignment="1"/>
    <xf numFmtId="4" fontId="3" fillId="0" borderId="28" xfId="0" applyNumberFormat="1" applyFont="1" applyBorder="1" applyAlignment="1"/>
    <xf numFmtId="0" fontId="3" fillId="0" borderId="9" xfId="0" applyFont="1" applyFill="1" applyBorder="1" applyAlignment="1">
      <alignment horizontal="left" vertical="center" wrapText="1"/>
    </xf>
    <xf numFmtId="0" fontId="3" fillId="0" borderId="4" xfId="0" applyFont="1" applyFill="1" applyBorder="1" applyAlignment="1">
      <alignment horizontal="left" vertical="center" wrapText="1"/>
    </xf>
    <xf numFmtId="4" fontId="3" fillId="0" borderId="48" xfId="0" applyNumberFormat="1" applyFont="1" applyFill="1" applyBorder="1" applyAlignment="1">
      <alignment vertical="center"/>
    </xf>
    <xf numFmtId="0" fontId="4" fillId="0" borderId="4" xfId="0" applyFont="1" applyFill="1" applyBorder="1" applyAlignment="1">
      <alignment horizontal="left" vertical="center" wrapText="1"/>
    </xf>
    <xf numFmtId="0" fontId="3" fillId="0" borderId="4" xfId="0" applyFont="1" applyFill="1" applyBorder="1" applyAlignment="1">
      <alignment wrapText="1"/>
    </xf>
    <xf numFmtId="0" fontId="2" fillId="0" borderId="5" xfId="0" applyFont="1" applyFill="1" applyBorder="1"/>
    <xf numFmtId="0" fontId="0" fillId="0" borderId="33" xfId="0" applyFill="1" applyBorder="1" applyAlignment="1">
      <alignment vertical="center"/>
    </xf>
    <xf numFmtId="0" fontId="0" fillId="0" borderId="26" xfId="0" applyFill="1" applyBorder="1" applyAlignment="1">
      <alignment vertical="center"/>
    </xf>
    <xf numFmtId="0" fontId="0" fillId="0" borderId="35" xfId="0" applyFill="1" applyBorder="1" applyAlignment="1">
      <alignment vertical="center"/>
    </xf>
    <xf numFmtId="0" fontId="0" fillId="0" borderId="10" xfId="0" applyFill="1" applyBorder="1" applyAlignment="1">
      <alignment vertical="center"/>
    </xf>
    <xf numFmtId="0" fontId="0" fillId="0" borderId="4" xfId="0" applyFill="1" applyBorder="1" applyAlignment="1">
      <alignment vertical="center"/>
    </xf>
    <xf numFmtId="0" fontId="0" fillId="0" borderId="9" xfId="0" applyFill="1" applyBorder="1" applyAlignment="1">
      <alignment vertical="center"/>
    </xf>
    <xf numFmtId="0" fontId="0" fillId="0" borderId="3" xfId="0" applyFill="1" applyBorder="1" applyAlignment="1">
      <alignment vertical="center"/>
    </xf>
    <xf numFmtId="0" fontId="0" fillId="0" borderId="48" xfId="0" applyFill="1" applyBorder="1" applyAlignment="1">
      <alignment vertical="center"/>
    </xf>
    <xf numFmtId="4" fontId="3" fillId="0" borderId="21" xfId="0" applyNumberFormat="1" applyFont="1" applyFill="1" applyBorder="1"/>
    <xf numFmtId="4" fontId="3" fillId="0" borderId="49" xfId="0" applyNumberFormat="1" applyFont="1" applyFill="1" applyBorder="1"/>
    <xf numFmtId="4" fontId="3" fillId="0" borderId="38" xfId="0" applyNumberFormat="1" applyFont="1" applyFill="1" applyBorder="1"/>
    <xf numFmtId="4" fontId="3" fillId="0" borderId="26" xfId="0" applyNumberFormat="1" applyFont="1" applyFill="1" applyBorder="1" applyAlignment="1"/>
    <xf numFmtId="4" fontId="3" fillId="0" borderId="4" xfId="0" applyNumberFormat="1" applyFont="1" applyFill="1" applyBorder="1" applyAlignment="1"/>
    <xf numFmtId="4" fontId="3" fillId="0" borderId="10" xfId="0" applyNumberFormat="1" applyFont="1" applyFill="1" applyBorder="1" applyAlignment="1"/>
    <xf numFmtId="4" fontId="3" fillId="0" borderId="48" xfId="0" applyNumberFormat="1" applyFont="1" applyFill="1" applyBorder="1"/>
    <xf numFmtId="0" fontId="3" fillId="0" borderId="0" xfId="0" applyFont="1" applyAlignment="1">
      <alignment horizontal="center"/>
    </xf>
    <xf numFmtId="0" fontId="2" fillId="0" borderId="0" xfId="0" applyFont="1" applyAlignment="1">
      <alignment horizontal="center"/>
    </xf>
    <xf numFmtId="0" fontId="6" fillId="0" borderId="0" xfId="0" applyFont="1" applyAlignment="1">
      <alignment horizontal="center"/>
    </xf>
    <xf numFmtId="0" fontId="3" fillId="0" borderId="0" xfId="0" applyFont="1" applyAlignment="1">
      <alignment horizontal="center" vertical="center" wrapText="1"/>
    </xf>
    <xf numFmtId="0" fontId="3" fillId="0" borderId="0" xfId="0" applyFont="1" applyFill="1" applyAlignment="1">
      <alignment horizontal="center"/>
    </xf>
    <xf numFmtId="0" fontId="2" fillId="0" borderId="0" xfId="0" applyFont="1" applyAlignment="1">
      <alignment horizontal="center" vertical="center" wrapText="1"/>
    </xf>
    <xf numFmtId="0" fontId="3" fillId="0" borderId="41" xfId="0" applyFont="1" applyFill="1" applyBorder="1" applyAlignment="1">
      <alignment horizontal="center"/>
    </xf>
    <xf numFmtId="0" fontId="3" fillId="0" borderId="42" xfId="0" applyFont="1" applyFill="1" applyBorder="1" applyAlignment="1">
      <alignment horizontal="center"/>
    </xf>
    <xf numFmtId="0" fontId="3" fillId="0" borderId="23" xfId="0" applyFont="1" applyBorder="1" applyAlignment="1">
      <alignment horizontal="center"/>
    </xf>
    <xf numFmtId="0" fontId="3" fillId="0" borderId="22" xfId="0" applyFont="1" applyBorder="1" applyAlignment="1">
      <alignment horizontal="center"/>
    </xf>
    <xf numFmtId="0" fontId="3" fillId="0" borderId="31" xfId="0" applyFont="1" applyBorder="1" applyAlignment="1">
      <alignment horizontal="center"/>
    </xf>
    <xf numFmtId="0" fontId="2" fillId="0" borderId="16" xfId="0" applyFont="1" applyBorder="1" applyAlignment="1">
      <alignment horizontal="center" vertical="center"/>
    </xf>
    <xf numFmtId="0" fontId="2" fillId="0" borderId="1" xfId="0" applyFont="1" applyBorder="1" applyAlignment="1">
      <alignment horizontal="center" vertical="center" wrapText="1"/>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2" fillId="0" borderId="37" xfId="0" applyFont="1" applyBorder="1" applyAlignment="1">
      <alignment horizontal="center" vertical="center"/>
    </xf>
    <xf numFmtId="0" fontId="2" fillId="0" borderId="26" xfId="0" applyFont="1" applyBorder="1" applyAlignment="1">
      <alignment horizontal="center" vertical="center"/>
    </xf>
    <xf numFmtId="0" fontId="2" fillId="0" borderId="32" xfId="0" applyFont="1" applyBorder="1" applyAlignment="1">
      <alignment horizontal="center" vertical="center"/>
    </xf>
    <xf numFmtId="0" fontId="2" fillId="0" borderId="24"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4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3" xfId="0" applyFont="1" applyFill="1" applyBorder="1" applyAlignment="1">
      <alignment horizontal="center"/>
    </xf>
    <xf numFmtId="0" fontId="3" fillId="0" borderId="31" xfId="0" applyFont="1" applyFill="1" applyBorder="1" applyAlignment="1">
      <alignment horizontal="center"/>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4" xfId="0" applyFont="1" applyBorder="1" applyAlignment="1">
      <alignment horizontal="center"/>
    </xf>
    <xf numFmtId="0" fontId="3" fillId="0" borderId="55" xfId="0" applyFont="1" applyBorder="1" applyAlignment="1">
      <alignment horizontal="center"/>
    </xf>
    <xf numFmtId="0" fontId="3" fillId="0" borderId="5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32" xfId="0" applyFont="1" applyBorder="1" applyAlignment="1">
      <alignment horizontal="center" vertical="center" wrapText="1"/>
    </xf>
  </cellXfs>
  <cellStyles count="4">
    <cellStyle name="Millares" xfId="1" builtinId="3"/>
    <cellStyle name="Millares 2" xfId="2"/>
    <cellStyle name="Normal" xfId="0" builtinId="0"/>
    <cellStyle name="Normal 2" xfId="3"/>
  </cellStyles>
  <dxfs count="0"/>
  <tableStyles count="0" defaultTableStyle="TableStyleMedium9" defaultPivotStyle="PivotStyleLight16"/>
  <colors>
    <mruColors>
      <color rgb="FFFFCCFF"/>
      <color rgb="FF9ABA52"/>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L57"/>
  <sheetViews>
    <sheetView tabSelected="1" workbookViewId="0">
      <selection activeCell="A7" sqref="A7"/>
    </sheetView>
  </sheetViews>
  <sheetFormatPr baseColWidth="10" defaultRowHeight="12.75" x14ac:dyDescent="0.2"/>
  <cols>
    <col min="1" max="1" width="18.7109375" customWidth="1"/>
    <col min="2" max="2" width="49.7109375" customWidth="1"/>
    <col min="3" max="3" width="18.85546875" customWidth="1"/>
    <col min="5" max="5" width="16.5703125" bestFit="1" customWidth="1"/>
  </cols>
  <sheetData>
    <row r="2" spans="1:12" x14ac:dyDescent="0.2">
      <c r="A2" s="333" t="s">
        <v>1</v>
      </c>
      <c r="B2" s="333"/>
      <c r="C2" s="333"/>
      <c r="D2" s="1"/>
      <c r="E2" s="1"/>
      <c r="F2" s="1"/>
      <c r="G2" s="1"/>
      <c r="H2" s="1"/>
      <c r="I2" s="1"/>
      <c r="J2" s="1"/>
      <c r="K2" s="1"/>
      <c r="L2" s="1"/>
    </row>
    <row r="3" spans="1:12" x14ac:dyDescent="0.2">
      <c r="A3" s="2"/>
      <c r="B3" s="2"/>
      <c r="C3" s="2"/>
      <c r="D3" s="1"/>
      <c r="E3" s="1"/>
      <c r="F3" s="1"/>
      <c r="G3" s="1"/>
      <c r="H3" s="1"/>
      <c r="I3" s="1"/>
      <c r="J3" s="1"/>
      <c r="K3" s="1"/>
      <c r="L3" s="1"/>
    </row>
    <row r="4" spans="1:12" x14ac:dyDescent="0.2">
      <c r="A4" s="333" t="s">
        <v>515</v>
      </c>
      <c r="B4" s="333"/>
      <c r="C4" s="333"/>
      <c r="D4" s="1"/>
      <c r="E4" s="1"/>
      <c r="F4" s="1"/>
      <c r="G4" s="1"/>
      <c r="H4" s="1"/>
      <c r="I4" s="1"/>
      <c r="J4" s="1"/>
      <c r="K4" s="1"/>
      <c r="L4" s="1"/>
    </row>
    <row r="5" spans="1:12" x14ac:dyDescent="0.2">
      <c r="A5" s="333" t="s">
        <v>56</v>
      </c>
      <c r="B5" s="333"/>
      <c r="C5" s="333"/>
      <c r="D5" s="1"/>
      <c r="E5" s="1"/>
      <c r="F5" s="1"/>
      <c r="G5" s="1"/>
      <c r="H5" s="1"/>
      <c r="I5" s="1"/>
      <c r="J5" s="1"/>
      <c r="K5" s="1"/>
      <c r="L5" s="1"/>
    </row>
    <row r="6" spans="1:12" x14ac:dyDescent="0.2">
      <c r="A6" s="333" t="s">
        <v>62</v>
      </c>
      <c r="B6" s="333"/>
      <c r="C6" s="333"/>
      <c r="D6" s="1"/>
      <c r="E6" s="1"/>
      <c r="F6" s="1"/>
      <c r="G6" s="1"/>
      <c r="H6" s="1"/>
      <c r="I6" s="1"/>
      <c r="J6" s="1"/>
      <c r="K6" s="1"/>
      <c r="L6" s="1"/>
    </row>
    <row r="7" spans="1:12" ht="13.5" thickBot="1" x14ac:dyDescent="0.25">
      <c r="A7" s="1"/>
      <c r="B7" s="1"/>
      <c r="C7" s="1"/>
      <c r="D7" s="1"/>
      <c r="E7" s="1"/>
      <c r="F7" s="1"/>
      <c r="G7" s="1"/>
      <c r="H7" s="1"/>
      <c r="I7" s="1"/>
      <c r="J7" s="1"/>
      <c r="K7" s="1"/>
      <c r="L7" s="1"/>
    </row>
    <row r="8" spans="1:12" ht="30" customHeight="1" x14ac:dyDescent="0.2">
      <c r="A8" s="9" t="s">
        <v>59</v>
      </c>
      <c r="B8" s="10" t="s">
        <v>0</v>
      </c>
      <c r="C8" s="11" t="s">
        <v>61</v>
      </c>
      <c r="D8" s="1"/>
      <c r="E8" s="1"/>
      <c r="F8" s="1"/>
      <c r="G8" s="1"/>
      <c r="H8" s="1"/>
      <c r="I8" s="1"/>
      <c r="J8" s="1"/>
      <c r="K8" s="1"/>
      <c r="L8" s="1"/>
    </row>
    <row r="9" spans="1:12" x14ac:dyDescent="0.2">
      <c r="A9" s="66" t="s">
        <v>285</v>
      </c>
      <c r="B9" s="65" t="s">
        <v>286</v>
      </c>
      <c r="C9" s="130">
        <f>C11+C15+C31</f>
        <v>751096</v>
      </c>
      <c r="D9" s="1"/>
      <c r="E9" s="1"/>
      <c r="F9" s="1"/>
      <c r="G9" s="1"/>
      <c r="H9" s="1"/>
      <c r="I9" s="1"/>
      <c r="J9" s="1"/>
      <c r="K9" s="1"/>
      <c r="L9" s="1"/>
    </row>
    <row r="10" spans="1:12" x14ac:dyDescent="0.2">
      <c r="A10" s="62"/>
      <c r="B10" s="63"/>
      <c r="C10" s="64"/>
      <c r="D10" s="1"/>
      <c r="E10" s="1"/>
      <c r="F10" s="1"/>
      <c r="G10" s="1"/>
      <c r="H10" s="1"/>
      <c r="I10" s="1"/>
      <c r="J10" s="1"/>
      <c r="K10" s="1"/>
      <c r="L10" s="1"/>
    </row>
    <row r="11" spans="1:12" hidden="1" x14ac:dyDescent="0.2">
      <c r="A11" s="68" t="s">
        <v>317</v>
      </c>
      <c r="B11" s="56" t="s">
        <v>287</v>
      </c>
      <c r="C11" s="153">
        <f>C12</f>
        <v>0</v>
      </c>
      <c r="D11" s="1"/>
      <c r="E11" s="1"/>
      <c r="F11" s="1"/>
      <c r="G11" s="1"/>
      <c r="H11" s="1"/>
      <c r="I11" s="1"/>
      <c r="J11" s="1"/>
      <c r="K11" s="1"/>
      <c r="L11" s="1"/>
    </row>
    <row r="12" spans="1:12" ht="22.5" hidden="1" x14ac:dyDescent="0.2">
      <c r="A12" s="75" t="s">
        <v>318</v>
      </c>
      <c r="B12" s="74" t="s">
        <v>319</v>
      </c>
      <c r="C12" s="130">
        <f>C13</f>
        <v>0</v>
      </c>
      <c r="D12" s="1"/>
      <c r="E12" s="1"/>
      <c r="F12" s="1"/>
      <c r="G12" s="3"/>
      <c r="H12" s="1"/>
      <c r="I12" s="1"/>
      <c r="J12" s="1"/>
      <c r="K12" s="1"/>
      <c r="L12" s="1"/>
    </row>
    <row r="13" spans="1:12" hidden="1" x14ac:dyDescent="0.2">
      <c r="A13" s="12" t="s">
        <v>288</v>
      </c>
      <c r="B13" s="6" t="s">
        <v>320</v>
      </c>
      <c r="C13" s="13">
        <f>C14</f>
        <v>0</v>
      </c>
      <c r="D13" s="1"/>
      <c r="E13" s="1"/>
      <c r="F13" s="1"/>
      <c r="G13" s="1"/>
      <c r="H13" s="1"/>
      <c r="I13" s="1"/>
      <c r="J13" s="1"/>
      <c r="K13" s="1"/>
      <c r="L13" s="1"/>
    </row>
    <row r="14" spans="1:12" hidden="1" x14ac:dyDescent="0.2">
      <c r="A14" s="53" t="s">
        <v>289</v>
      </c>
      <c r="B14" s="7" t="s">
        <v>322</v>
      </c>
      <c r="C14" s="14"/>
      <c r="D14" s="1"/>
      <c r="E14" s="1"/>
      <c r="F14" s="1"/>
      <c r="G14" s="1"/>
      <c r="H14" s="1"/>
      <c r="I14" s="1"/>
      <c r="J14" s="1"/>
      <c r="K14" s="1"/>
      <c r="L14" s="1"/>
    </row>
    <row r="15" spans="1:12" x14ac:dyDescent="0.2">
      <c r="A15" s="68" t="s">
        <v>290</v>
      </c>
      <c r="B15" s="56" t="s">
        <v>291</v>
      </c>
      <c r="C15" s="69">
        <f>C16+C26</f>
        <v>359096</v>
      </c>
      <c r="D15" s="1"/>
      <c r="E15" s="1"/>
      <c r="F15" s="1"/>
      <c r="G15" s="1"/>
      <c r="H15" s="1"/>
      <c r="I15" s="1"/>
      <c r="J15" s="1"/>
      <c r="K15" s="1"/>
      <c r="L15" s="1"/>
    </row>
    <row r="16" spans="1:12" x14ac:dyDescent="0.2">
      <c r="A16" s="12" t="s">
        <v>292</v>
      </c>
      <c r="B16" s="6" t="s">
        <v>293</v>
      </c>
      <c r="C16" s="13">
        <f>C17+C19</f>
        <v>359096</v>
      </c>
      <c r="D16" s="1"/>
      <c r="E16" s="1"/>
      <c r="F16" s="1"/>
      <c r="G16" s="1"/>
      <c r="H16" s="1"/>
      <c r="I16" s="1"/>
      <c r="J16" s="1"/>
      <c r="K16" s="1"/>
      <c r="L16" s="1"/>
    </row>
    <row r="17" spans="1:12" x14ac:dyDescent="0.2">
      <c r="A17" s="12" t="s">
        <v>294</v>
      </c>
      <c r="B17" s="6" t="s">
        <v>295</v>
      </c>
      <c r="C17" s="13">
        <f>C18</f>
        <v>249550</v>
      </c>
      <c r="D17" s="1"/>
      <c r="E17" s="1"/>
      <c r="F17" s="1"/>
      <c r="G17" s="1"/>
      <c r="H17" s="1"/>
      <c r="I17" s="1"/>
      <c r="J17" s="1"/>
      <c r="K17" s="1"/>
      <c r="L17" s="1"/>
    </row>
    <row r="18" spans="1:12" x14ac:dyDescent="0.2">
      <c r="A18" s="67" t="s">
        <v>296</v>
      </c>
      <c r="B18" s="7" t="s">
        <v>297</v>
      </c>
      <c r="C18" s="14">
        <v>249550</v>
      </c>
      <c r="D18" s="1"/>
      <c r="E18" s="1"/>
      <c r="F18" s="1"/>
      <c r="G18" s="1"/>
      <c r="H18" s="1"/>
      <c r="I18" s="1"/>
      <c r="J18" s="1"/>
      <c r="K18" s="1"/>
      <c r="L18" s="1"/>
    </row>
    <row r="19" spans="1:12" x14ac:dyDescent="0.2">
      <c r="A19" s="12" t="s">
        <v>298</v>
      </c>
      <c r="B19" s="70" t="s">
        <v>299</v>
      </c>
      <c r="C19" s="57">
        <f>C20+C22</f>
        <v>109546</v>
      </c>
      <c r="D19" s="1"/>
      <c r="E19" s="1"/>
      <c r="F19" s="1"/>
      <c r="G19" s="1"/>
      <c r="H19" s="1"/>
      <c r="I19" s="1"/>
      <c r="J19" s="1"/>
      <c r="K19" s="1"/>
      <c r="L19" s="1"/>
    </row>
    <row r="20" spans="1:12" hidden="1" x14ac:dyDescent="0.2">
      <c r="A20" s="12" t="s">
        <v>300</v>
      </c>
      <c r="B20" s="70" t="s">
        <v>301</v>
      </c>
      <c r="C20" s="57">
        <f>C21</f>
        <v>0</v>
      </c>
      <c r="D20" s="1"/>
      <c r="E20" s="1"/>
      <c r="F20" s="1"/>
      <c r="G20" s="1"/>
      <c r="H20" s="1"/>
      <c r="I20" s="1"/>
      <c r="J20" s="1"/>
      <c r="K20" s="1"/>
      <c r="L20" s="1"/>
    </row>
    <row r="21" spans="1:12" hidden="1" x14ac:dyDescent="0.2">
      <c r="A21" s="67" t="s">
        <v>302</v>
      </c>
      <c r="B21" s="7" t="s">
        <v>2</v>
      </c>
      <c r="C21" s="55"/>
      <c r="D21" s="1"/>
      <c r="E21" s="1"/>
      <c r="F21" s="1" t="s">
        <v>345</v>
      </c>
      <c r="G21" s="1"/>
      <c r="H21" s="1"/>
      <c r="I21" s="1"/>
      <c r="J21" s="1"/>
      <c r="K21" s="1"/>
      <c r="L21" s="1"/>
    </row>
    <row r="22" spans="1:12" x14ac:dyDescent="0.2">
      <c r="A22" s="12" t="s">
        <v>303</v>
      </c>
      <c r="B22" s="6" t="s">
        <v>304</v>
      </c>
      <c r="C22" s="57">
        <f>C23+C24+C25</f>
        <v>109546</v>
      </c>
      <c r="D22" s="1"/>
      <c r="E22" s="1"/>
      <c r="F22" s="1"/>
      <c r="G22" s="1"/>
      <c r="H22" s="1"/>
      <c r="I22" s="1"/>
      <c r="J22" s="1"/>
      <c r="K22" s="1"/>
      <c r="L22" s="1"/>
    </row>
    <row r="23" spans="1:12" s="32" customFormat="1" x14ac:dyDescent="0.2">
      <c r="A23" s="53" t="s">
        <v>397</v>
      </c>
      <c r="B23" s="128" t="s">
        <v>398</v>
      </c>
      <c r="C23" s="55"/>
      <c r="D23" s="122"/>
      <c r="E23" s="122"/>
      <c r="F23" s="122"/>
      <c r="G23" s="122"/>
      <c r="H23" s="122"/>
      <c r="I23" s="122"/>
      <c r="J23" s="122"/>
      <c r="K23" s="122"/>
      <c r="L23" s="122"/>
    </row>
    <row r="24" spans="1:12" x14ac:dyDescent="0.2">
      <c r="A24" s="67" t="s">
        <v>305</v>
      </c>
      <c r="B24" s="7" t="s">
        <v>306</v>
      </c>
      <c r="C24" s="55">
        <v>109546</v>
      </c>
      <c r="D24" s="1"/>
      <c r="E24" s="1"/>
      <c r="F24" s="1"/>
      <c r="G24" s="1"/>
      <c r="H24" s="1"/>
      <c r="I24" s="1"/>
      <c r="J24" s="1"/>
      <c r="K24" s="1"/>
      <c r="L24" s="1"/>
    </row>
    <row r="25" spans="1:12" x14ac:dyDescent="0.2">
      <c r="A25" s="67" t="s">
        <v>307</v>
      </c>
      <c r="B25" s="7" t="s">
        <v>308</v>
      </c>
      <c r="C25" s="55"/>
      <c r="D25" s="1"/>
      <c r="E25" s="1"/>
      <c r="F25" s="1"/>
      <c r="G25" s="1"/>
      <c r="H25" s="1"/>
      <c r="I25" s="1"/>
      <c r="J25" s="1"/>
      <c r="K25" s="1"/>
      <c r="L25" s="1"/>
    </row>
    <row r="26" spans="1:12" hidden="1" x14ac:dyDescent="0.2">
      <c r="A26" s="12" t="s">
        <v>315</v>
      </c>
      <c r="B26" s="6" t="s">
        <v>316</v>
      </c>
      <c r="C26" s="57">
        <f>C27</f>
        <v>0</v>
      </c>
      <c r="D26" s="1"/>
      <c r="E26" s="1"/>
      <c r="F26" s="1"/>
      <c r="G26" s="1"/>
      <c r="H26" s="1"/>
      <c r="I26" s="1"/>
      <c r="J26" s="1"/>
      <c r="K26" s="1"/>
      <c r="L26" s="1"/>
    </row>
    <row r="27" spans="1:12" hidden="1" x14ac:dyDescent="0.2">
      <c r="A27" s="12" t="s">
        <v>313</v>
      </c>
      <c r="B27" s="6" t="s">
        <v>314</v>
      </c>
      <c r="C27" s="57">
        <f>C28</f>
        <v>0</v>
      </c>
      <c r="D27" s="1"/>
      <c r="E27" s="1"/>
      <c r="F27" s="1"/>
      <c r="G27" s="1"/>
      <c r="H27" s="1"/>
      <c r="I27" s="1"/>
      <c r="J27" s="1"/>
      <c r="K27" s="1"/>
      <c r="L27" s="1"/>
    </row>
    <row r="28" spans="1:12" hidden="1" x14ac:dyDescent="0.2">
      <c r="A28" s="12" t="s">
        <v>309</v>
      </c>
      <c r="B28" s="6" t="s">
        <v>310</v>
      </c>
      <c r="C28" s="57">
        <f>C29+C30</f>
        <v>0</v>
      </c>
      <c r="D28" s="1"/>
      <c r="E28" s="1"/>
      <c r="F28" s="1"/>
      <c r="G28" s="1"/>
      <c r="H28" s="1"/>
      <c r="I28" s="1"/>
      <c r="J28" s="1"/>
      <c r="K28" s="1"/>
      <c r="L28" s="1"/>
    </row>
    <row r="29" spans="1:12" ht="22.5" hidden="1" x14ac:dyDescent="0.2">
      <c r="A29" s="80" t="s">
        <v>311</v>
      </c>
      <c r="B29" s="72" t="s">
        <v>312</v>
      </c>
      <c r="C29" s="55"/>
      <c r="D29" s="1"/>
      <c r="E29" s="1"/>
      <c r="F29" s="1"/>
      <c r="G29" s="1"/>
      <c r="H29" s="1"/>
      <c r="I29" s="1"/>
      <c r="J29" s="1"/>
      <c r="K29" s="1"/>
      <c r="L29" s="1"/>
    </row>
    <row r="30" spans="1:12" hidden="1" x14ac:dyDescent="0.2">
      <c r="A30" s="165" t="s">
        <v>359</v>
      </c>
      <c r="B30" s="161" t="s">
        <v>360</v>
      </c>
      <c r="C30" s="55"/>
      <c r="D30" s="1"/>
      <c r="E30" s="1"/>
      <c r="F30" s="1"/>
      <c r="G30" s="1"/>
      <c r="H30" s="1"/>
      <c r="I30" s="1"/>
      <c r="J30" s="1"/>
      <c r="K30" s="1"/>
      <c r="L30" s="1"/>
    </row>
    <row r="31" spans="1:12" x14ac:dyDescent="0.2">
      <c r="A31" s="68" t="s">
        <v>57</v>
      </c>
      <c r="B31" s="76" t="s">
        <v>321</v>
      </c>
      <c r="C31" s="79">
        <f>C32</f>
        <v>392000</v>
      </c>
      <c r="D31" s="1"/>
      <c r="E31" s="1"/>
      <c r="F31" s="1"/>
      <c r="G31" s="1"/>
      <c r="H31" s="1"/>
      <c r="I31" s="1"/>
      <c r="J31" s="1"/>
      <c r="K31" s="1"/>
      <c r="L31" s="1"/>
    </row>
    <row r="32" spans="1:12" x14ac:dyDescent="0.2">
      <c r="A32" s="77" t="s">
        <v>58</v>
      </c>
      <c r="B32" s="74" t="s">
        <v>323</v>
      </c>
      <c r="C32" s="57">
        <f>C33+C35+C37</f>
        <v>392000</v>
      </c>
      <c r="D32" s="1"/>
      <c r="E32" s="1"/>
      <c r="F32" s="1"/>
      <c r="G32" s="1"/>
      <c r="H32" s="1"/>
      <c r="I32" s="1"/>
      <c r="J32" s="1"/>
      <c r="K32" s="1"/>
      <c r="L32" s="1"/>
    </row>
    <row r="33" spans="1:12" x14ac:dyDescent="0.2">
      <c r="A33" s="78" t="s">
        <v>325</v>
      </c>
      <c r="B33" s="72" t="s">
        <v>324</v>
      </c>
      <c r="C33" s="154">
        <f>C34</f>
        <v>372000</v>
      </c>
      <c r="D33" s="1"/>
      <c r="E33" s="1"/>
      <c r="F33" s="1"/>
      <c r="G33" s="1"/>
      <c r="H33" s="1"/>
      <c r="I33" s="1"/>
      <c r="J33" s="1"/>
      <c r="K33" s="1"/>
      <c r="L33" s="1"/>
    </row>
    <row r="34" spans="1:12" x14ac:dyDescent="0.2">
      <c r="A34" s="78"/>
      <c r="B34" s="161" t="s">
        <v>393</v>
      </c>
      <c r="C34" s="154">
        <f>372000</f>
        <v>372000</v>
      </c>
      <c r="D34" s="1"/>
      <c r="E34" s="1"/>
      <c r="F34" s="1"/>
      <c r="G34" s="1"/>
      <c r="H34" s="1"/>
      <c r="I34" s="1"/>
      <c r="J34" s="1"/>
      <c r="K34" s="1"/>
      <c r="L34" s="1"/>
    </row>
    <row r="35" spans="1:12" hidden="1" x14ac:dyDescent="0.2">
      <c r="A35" s="268" t="s">
        <v>473</v>
      </c>
      <c r="B35" s="269" t="s">
        <v>471</v>
      </c>
      <c r="C35" s="154">
        <f>C36</f>
        <v>0</v>
      </c>
      <c r="D35" s="1"/>
      <c r="E35" s="1"/>
      <c r="F35" s="1"/>
      <c r="G35" s="1"/>
      <c r="H35" s="1"/>
      <c r="I35" s="1"/>
      <c r="J35" s="1"/>
      <c r="K35" s="1"/>
      <c r="L35" s="1"/>
    </row>
    <row r="36" spans="1:12" hidden="1" x14ac:dyDescent="0.2">
      <c r="A36" s="268"/>
      <c r="B36" s="97" t="s">
        <v>472</v>
      </c>
      <c r="C36" s="154"/>
      <c r="D36" s="1"/>
      <c r="E36" s="1"/>
      <c r="F36" s="1"/>
      <c r="G36" s="1"/>
      <c r="H36" s="1"/>
      <c r="I36" s="1"/>
      <c r="J36" s="1"/>
      <c r="K36" s="1"/>
      <c r="L36" s="1"/>
    </row>
    <row r="37" spans="1:12" ht="22.5" x14ac:dyDescent="0.2">
      <c r="A37" s="155" t="s">
        <v>380</v>
      </c>
      <c r="B37" s="161" t="s">
        <v>379</v>
      </c>
      <c r="C37" s="154">
        <f>C38+C39+C40</f>
        <v>20000</v>
      </c>
      <c r="D37" s="1"/>
      <c r="E37" s="1"/>
      <c r="F37" s="1"/>
      <c r="G37" s="1"/>
      <c r="H37" s="1"/>
      <c r="I37" s="1"/>
      <c r="J37" s="1"/>
      <c r="K37" s="1"/>
      <c r="L37" s="1"/>
    </row>
    <row r="38" spans="1:12" x14ac:dyDescent="0.2">
      <c r="A38" s="155"/>
      <c r="B38" s="161" t="s">
        <v>394</v>
      </c>
      <c r="C38" s="154">
        <v>12000</v>
      </c>
      <c r="D38" s="1"/>
      <c r="E38" s="1"/>
      <c r="F38" s="1"/>
      <c r="G38" s="1"/>
      <c r="H38" s="1"/>
      <c r="I38" s="1"/>
      <c r="J38" s="1"/>
      <c r="K38" s="1"/>
      <c r="L38" s="1"/>
    </row>
    <row r="39" spans="1:12" x14ac:dyDescent="0.2">
      <c r="A39" s="155"/>
      <c r="B39" s="161" t="s">
        <v>395</v>
      </c>
      <c r="C39" s="154">
        <v>8000</v>
      </c>
      <c r="D39" s="1"/>
      <c r="E39" s="1"/>
      <c r="F39" s="1"/>
      <c r="G39" s="1"/>
      <c r="H39" s="1"/>
      <c r="I39" s="1"/>
      <c r="J39" s="1"/>
      <c r="K39" s="1"/>
      <c r="L39" s="1"/>
    </row>
    <row r="40" spans="1:12" hidden="1" x14ac:dyDescent="0.2">
      <c r="A40" s="155"/>
      <c r="B40" s="161" t="s">
        <v>396</v>
      </c>
      <c r="C40" s="154"/>
      <c r="D40" s="1"/>
      <c r="E40" s="1"/>
      <c r="F40" s="1"/>
      <c r="G40" s="1"/>
      <c r="H40" s="1"/>
      <c r="I40" s="1"/>
      <c r="J40" s="1"/>
      <c r="K40" s="1"/>
      <c r="L40" s="1"/>
    </row>
    <row r="41" spans="1:12" x14ac:dyDescent="0.2">
      <c r="A41" s="78"/>
      <c r="B41" s="72"/>
      <c r="C41" s="154"/>
      <c r="D41" s="1"/>
      <c r="E41" s="1"/>
      <c r="F41" s="1"/>
      <c r="G41" s="1"/>
      <c r="H41" s="1"/>
      <c r="I41" s="1"/>
      <c r="J41" s="1"/>
      <c r="K41" s="1"/>
      <c r="L41" s="1"/>
    </row>
    <row r="42" spans="1:12" x14ac:dyDescent="0.2">
      <c r="A42" s="66" t="s">
        <v>346</v>
      </c>
      <c r="B42" s="65" t="s">
        <v>326</v>
      </c>
      <c r="C42" s="130">
        <f>C44</f>
        <v>553290.73</v>
      </c>
      <c r="D42" s="1"/>
      <c r="E42" s="1"/>
      <c r="F42" s="1"/>
      <c r="G42" s="1"/>
      <c r="H42" s="1"/>
      <c r="I42" s="1"/>
      <c r="J42" s="1"/>
      <c r="K42" s="1"/>
      <c r="L42" s="1"/>
    </row>
    <row r="43" spans="1:12" x14ac:dyDescent="0.2">
      <c r="A43" s="78"/>
      <c r="B43" s="72"/>
      <c r="C43" s="154"/>
      <c r="D43" s="1"/>
      <c r="E43" s="1"/>
      <c r="F43" s="1"/>
      <c r="G43" s="1"/>
      <c r="H43" s="1"/>
      <c r="I43" s="1"/>
      <c r="J43" s="1"/>
      <c r="K43" s="1"/>
      <c r="L43" s="1"/>
    </row>
    <row r="44" spans="1:12" x14ac:dyDescent="0.2">
      <c r="A44" s="66" t="s">
        <v>347</v>
      </c>
      <c r="B44" s="160" t="s">
        <v>348</v>
      </c>
      <c r="C44" s="79">
        <f>C45+C47</f>
        <v>553290.73</v>
      </c>
      <c r="D44" s="1"/>
      <c r="E44" s="1"/>
      <c r="F44" s="1"/>
      <c r="G44" s="1"/>
      <c r="H44" s="1"/>
      <c r="I44" s="1"/>
      <c r="J44" s="1"/>
      <c r="K44" s="1"/>
      <c r="L44" s="1"/>
    </row>
    <row r="45" spans="1:12" x14ac:dyDescent="0.2">
      <c r="A45" s="66" t="s">
        <v>349</v>
      </c>
      <c r="B45" s="74" t="s">
        <v>350</v>
      </c>
      <c r="C45" s="57">
        <f>C46</f>
        <v>407960.66</v>
      </c>
      <c r="D45" s="1"/>
      <c r="E45" s="1"/>
      <c r="F45" s="1"/>
      <c r="G45" s="1"/>
      <c r="H45" s="1"/>
      <c r="I45" s="1"/>
      <c r="J45" s="1"/>
      <c r="K45" s="1"/>
      <c r="L45" s="1"/>
    </row>
    <row r="46" spans="1:12" x14ac:dyDescent="0.2">
      <c r="A46" s="78"/>
      <c r="B46" s="161" t="s">
        <v>351</v>
      </c>
      <c r="C46" s="154">
        <f>282960.66+125000</f>
        <v>407960.66</v>
      </c>
      <c r="D46" s="1"/>
      <c r="E46" s="1"/>
      <c r="F46" s="1"/>
      <c r="G46" s="1"/>
      <c r="H46" s="1"/>
      <c r="I46" s="1"/>
      <c r="J46" s="1"/>
      <c r="K46" s="1"/>
      <c r="L46" s="1"/>
    </row>
    <row r="47" spans="1:12" x14ac:dyDescent="0.2">
      <c r="A47" s="66" t="s">
        <v>352</v>
      </c>
      <c r="B47" s="74" t="s">
        <v>353</v>
      </c>
      <c r="C47" s="57">
        <f>C48+C49</f>
        <v>145330.07</v>
      </c>
      <c r="D47" s="1"/>
      <c r="E47" s="1"/>
      <c r="F47" s="1"/>
      <c r="G47" s="1"/>
      <c r="H47" s="1"/>
      <c r="I47" s="1"/>
      <c r="J47" s="1"/>
      <c r="K47" s="1"/>
      <c r="L47" s="1"/>
    </row>
    <row r="48" spans="1:12" x14ac:dyDescent="0.2">
      <c r="A48" s="78"/>
      <c r="B48" s="161" t="s">
        <v>413</v>
      </c>
      <c r="C48" s="154">
        <f>40330.07</f>
        <v>40330.07</v>
      </c>
      <c r="D48" s="1"/>
      <c r="E48" s="1"/>
      <c r="F48" s="1"/>
      <c r="G48" s="1"/>
      <c r="H48" s="1"/>
      <c r="I48" s="1"/>
      <c r="J48" s="1"/>
      <c r="K48" s="1"/>
      <c r="L48" s="1"/>
    </row>
    <row r="49" spans="1:12" x14ac:dyDescent="0.2">
      <c r="A49" s="67"/>
      <c r="B49" s="161" t="s">
        <v>364</v>
      </c>
      <c r="C49" s="154">
        <v>105000</v>
      </c>
      <c r="D49" s="1"/>
      <c r="E49" s="1"/>
      <c r="F49" s="1"/>
      <c r="G49" s="1"/>
      <c r="H49" s="1"/>
      <c r="I49" s="1"/>
      <c r="J49" s="1"/>
      <c r="K49" s="1"/>
      <c r="L49" s="1"/>
    </row>
    <row r="50" spans="1:12" x14ac:dyDescent="0.2">
      <c r="A50" s="54"/>
      <c r="B50" s="8"/>
      <c r="C50" s="15"/>
      <c r="D50" s="1"/>
      <c r="E50" s="1"/>
      <c r="F50" s="1"/>
      <c r="G50" s="1"/>
      <c r="H50" s="1"/>
      <c r="I50" s="1"/>
      <c r="J50" s="1"/>
      <c r="K50" s="1"/>
      <c r="L50" s="1"/>
    </row>
    <row r="51" spans="1:12" ht="13.5" thickBot="1" x14ac:dyDescent="0.25">
      <c r="A51" s="16" t="s">
        <v>60</v>
      </c>
      <c r="B51" s="17"/>
      <c r="C51" s="18">
        <f>C9+C44</f>
        <v>1304386.73</v>
      </c>
      <c r="D51" s="1"/>
      <c r="E51" s="1"/>
      <c r="F51" s="1"/>
      <c r="G51" s="1"/>
      <c r="H51" s="1"/>
      <c r="I51" s="1"/>
      <c r="J51" s="1"/>
      <c r="K51" s="1"/>
      <c r="L51" s="1"/>
    </row>
    <row r="52" spans="1:12" x14ac:dyDescent="0.2">
      <c r="A52" s="1"/>
      <c r="B52" s="1"/>
      <c r="C52" s="1"/>
      <c r="D52" s="1"/>
      <c r="E52" s="1"/>
      <c r="F52" s="1"/>
      <c r="G52" s="1"/>
      <c r="H52" s="1"/>
      <c r="I52" s="1"/>
      <c r="J52" s="1"/>
      <c r="K52" s="1"/>
      <c r="L52" s="1"/>
    </row>
    <row r="56" spans="1:12" x14ac:dyDescent="0.2">
      <c r="A56" s="1"/>
    </row>
    <row r="57" spans="1:12" x14ac:dyDescent="0.2">
      <c r="A57" s="1"/>
    </row>
  </sheetData>
  <mergeCells count="4">
    <mergeCell ref="A2:C2"/>
    <mergeCell ref="A4:C4"/>
    <mergeCell ref="A5:C5"/>
    <mergeCell ref="A6:C6"/>
  </mergeCells>
  <phoneticPr fontId="2" type="noConversion"/>
  <printOptions horizontalCentered="1"/>
  <pageMargins left="0.39370078740157483" right="0.43307086614173229" top="0.47244094488188981" bottom="0.51181102362204722" header="0" footer="0"/>
  <pageSetup orientation="portrait"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2:D67"/>
  <sheetViews>
    <sheetView workbookViewId="0">
      <selection activeCell="G43" sqref="G43"/>
    </sheetView>
  </sheetViews>
  <sheetFormatPr baseColWidth="10" defaultRowHeight="12.75" x14ac:dyDescent="0.2"/>
  <cols>
    <col min="1" max="1" width="18.140625" customWidth="1"/>
    <col min="2" max="2" width="38.42578125" bestFit="1" customWidth="1"/>
    <col min="3" max="3" width="46.7109375" customWidth="1"/>
    <col min="4" max="4" width="18" customWidth="1"/>
  </cols>
  <sheetData>
    <row r="2" spans="1:4" x14ac:dyDescent="0.2">
      <c r="A2" s="333" t="s">
        <v>1</v>
      </c>
      <c r="B2" s="333"/>
      <c r="C2" s="333"/>
      <c r="D2" s="333"/>
    </row>
    <row r="3" spans="1:4" x14ac:dyDescent="0.2">
      <c r="A3" s="2"/>
      <c r="B3" s="2"/>
      <c r="C3" s="2"/>
    </row>
    <row r="4" spans="1:4" x14ac:dyDescent="0.2">
      <c r="A4" s="333" t="s">
        <v>515</v>
      </c>
      <c r="B4" s="333"/>
      <c r="C4" s="333"/>
      <c r="D4" s="333"/>
    </row>
    <row r="5" spans="1:4" x14ac:dyDescent="0.2">
      <c r="A5" s="333" t="s">
        <v>3</v>
      </c>
      <c r="B5" s="333"/>
      <c r="C5" s="333"/>
      <c r="D5" s="333"/>
    </row>
    <row r="6" spans="1:4" x14ac:dyDescent="0.2">
      <c r="A6" s="333" t="s">
        <v>62</v>
      </c>
      <c r="B6" s="333"/>
      <c r="C6" s="333"/>
      <c r="D6" s="333"/>
    </row>
    <row r="7" spans="1:4" ht="13.5" thickBot="1" x14ac:dyDescent="0.25">
      <c r="A7" s="1"/>
      <c r="B7" s="1"/>
      <c r="C7" s="1"/>
    </row>
    <row r="8" spans="1:4" ht="33.75" x14ac:dyDescent="0.2">
      <c r="A8" s="9" t="s">
        <v>59</v>
      </c>
      <c r="B8" s="10" t="s">
        <v>0</v>
      </c>
      <c r="C8" s="20" t="s">
        <v>4</v>
      </c>
      <c r="D8" s="11" t="s">
        <v>61</v>
      </c>
    </row>
    <row r="9" spans="1:4" x14ac:dyDescent="0.2">
      <c r="A9" s="66" t="s">
        <v>285</v>
      </c>
      <c r="B9" s="65" t="s">
        <v>286</v>
      </c>
      <c r="C9" s="4"/>
      <c r="D9" s="13">
        <f>D11+D15+D31</f>
        <v>751096</v>
      </c>
    </row>
    <row r="10" spans="1:4" x14ac:dyDescent="0.2">
      <c r="A10" s="62"/>
      <c r="B10" s="63"/>
      <c r="C10" s="5"/>
      <c r="D10" s="64"/>
    </row>
    <row r="11" spans="1:4" ht="12.75" hidden="1" customHeight="1" x14ac:dyDescent="0.2">
      <c r="A11" s="68" t="s">
        <v>317</v>
      </c>
      <c r="B11" s="56" t="s">
        <v>287</v>
      </c>
      <c r="C11" s="73"/>
      <c r="D11" s="69">
        <f>D12</f>
        <v>0</v>
      </c>
    </row>
    <row r="12" spans="1:4" ht="22.5" hidden="1" x14ac:dyDescent="0.2">
      <c r="A12" s="75" t="s">
        <v>318</v>
      </c>
      <c r="B12" s="74" t="s">
        <v>319</v>
      </c>
      <c r="C12" s="73"/>
      <c r="D12" s="130">
        <f>D13</f>
        <v>0</v>
      </c>
    </row>
    <row r="13" spans="1:4" hidden="1" x14ac:dyDescent="0.2">
      <c r="A13" s="12" t="s">
        <v>288</v>
      </c>
      <c r="B13" s="6" t="s">
        <v>320</v>
      </c>
      <c r="C13" s="83"/>
      <c r="D13" s="13">
        <f>D14</f>
        <v>0</v>
      </c>
    </row>
    <row r="14" spans="1:4" hidden="1" x14ac:dyDescent="0.2">
      <c r="A14" s="89" t="s">
        <v>289</v>
      </c>
      <c r="B14" s="90" t="s">
        <v>322</v>
      </c>
      <c r="C14" s="88"/>
      <c r="D14" s="129">
        <f>INGRESOS!C14</f>
        <v>0</v>
      </c>
    </row>
    <row r="15" spans="1:4" x14ac:dyDescent="0.2">
      <c r="A15" s="68" t="s">
        <v>290</v>
      </c>
      <c r="B15" s="56" t="s">
        <v>291</v>
      </c>
      <c r="C15" s="85"/>
      <c r="D15" s="69">
        <f>D16+D26</f>
        <v>359096</v>
      </c>
    </row>
    <row r="16" spans="1:4" x14ac:dyDescent="0.2">
      <c r="A16" s="12" t="s">
        <v>292</v>
      </c>
      <c r="B16" s="6" t="s">
        <v>293</v>
      </c>
      <c r="C16" s="86"/>
      <c r="D16" s="13">
        <f>D17+D19</f>
        <v>359096</v>
      </c>
    </row>
    <row r="17" spans="1:4" x14ac:dyDescent="0.2">
      <c r="A17" s="12" t="s">
        <v>294</v>
      </c>
      <c r="B17" s="6" t="s">
        <v>295</v>
      </c>
      <c r="C17" s="87"/>
      <c r="D17" s="13">
        <f>D18</f>
        <v>249550</v>
      </c>
    </row>
    <row r="18" spans="1:4" ht="56.25" x14ac:dyDescent="0.2">
      <c r="A18" s="155" t="s">
        <v>296</v>
      </c>
      <c r="B18" s="90" t="s">
        <v>297</v>
      </c>
      <c r="C18" s="72" t="s">
        <v>5</v>
      </c>
      <c r="D18" s="129">
        <f>INGRESOS!C18</f>
        <v>249550</v>
      </c>
    </row>
    <row r="19" spans="1:4" x14ac:dyDescent="0.2">
      <c r="A19" s="12" t="s">
        <v>298</v>
      </c>
      <c r="B19" s="70" t="s">
        <v>299</v>
      </c>
      <c r="C19" s="84"/>
      <c r="D19" s="57">
        <f>D20+D22</f>
        <v>109546</v>
      </c>
    </row>
    <row r="20" spans="1:4" hidden="1" x14ac:dyDescent="0.2">
      <c r="A20" s="12" t="s">
        <v>300</v>
      </c>
      <c r="B20" s="70" t="s">
        <v>301</v>
      </c>
      <c r="C20" s="84"/>
      <c r="D20" s="57">
        <f>D21</f>
        <v>0</v>
      </c>
    </row>
    <row r="21" spans="1:4" ht="35.25" hidden="1" customHeight="1" x14ac:dyDescent="0.2">
      <c r="A21" s="155" t="s">
        <v>302</v>
      </c>
      <c r="B21" s="90" t="s">
        <v>2</v>
      </c>
      <c r="C21" s="72"/>
      <c r="D21" s="129">
        <f>INGRESOS!C21</f>
        <v>0</v>
      </c>
    </row>
    <row r="22" spans="1:4" x14ac:dyDescent="0.2">
      <c r="A22" s="12" t="s">
        <v>303</v>
      </c>
      <c r="B22" s="6" t="s">
        <v>304</v>
      </c>
      <c r="C22" s="84"/>
      <c r="D22" s="57">
        <f>D23+D24+D25</f>
        <v>109546</v>
      </c>
    </row>
    <row r="23" spans="1:4" s="32" customFormat="1" hidden="1" x14ac:dyDescent="0.2">
      <c r="A23" s="53" t="s">
        <v>397</v>
      </c>
      <c r="B23" s="128" t="s">
        <v>398</v>
      </c>
      <c r="C23" s="117"/>
      <c r="D23" s="154">
        <f>INGRESOS!C23</f>
        <v>0</v>
      </c>
    </row>
    <row r="24" spans="1:4" ht="82.5" customHeight="1" x14ac:dyDescent="0.2">
      <c r="A24" s="155" t="s">
        <v>305</v>
      </c>
      <c r="B24" s="90" t="s">
        <v>306</v>
      </c>
      <c r="C24" s="161" t="s">
        <v>6</v>
      </c>
      <c r="D24" s="129">
        <f>INGRESOS!C24</f>
        <v>109546</v>
      </c>
    </row>
    <row r="25" spans="1:4" hidden="1" x14ac:dyDescent="0.2">
      <c r="A25" s="78" t="s">
        <v>307</v>
      </c>
      <c r="B25" s="7" t="s">
        <v>308</v>
      </c>
      <c r="C25" s="7"/>
      <c r="D25" s="55">
        <f>INGRESOS!C25</f>
        <v>0</v>
      </c>
    </row>
    <row r="26" spans="1:4" hidden="1" x14ac:dyDescent="0.2">
      <c r="A26" s="77" t="s">
        <v>315</v>
      </c>
      <c r="B26" s="6" t="s">
        <v>316</v>
      </c>
      <c r="C26" s="169"/>
      <c r="D26" s="57">
        <f>D27</f>
        <v>0</v>
      </c>
    </row>
    <row r="27" spans="1:4" hidden="1" x14ac:dyDescent="0.2">
      <c r="A27" s="12" t="s">
        <v>313</v>
      </c>
      <c r="B27" s="6" t="s">
        <v>314</v>
      </c>
      <c r="C27" s="84"/>
      <c r="D27" s="57">
        <f>D28</f>
        <v>0</v>
      </c>
    </row>
    <row r="28" spans="1:4" hidden="1" x14ac:dyDescent="0.2">
      <c r="A28" s="12" t="s">
        <v>309</v>
      </c>
      <c r="B28" s="6" t="s">
        <v>310</v>
      </c>
      <c r="C28" s="84"/>
      <c r="D28" s="57">
        <f>D29+D30</f>
        <v>0</v>
      </c>
    </row>
    <row r="29" spans="1:4" ht="22.5" hidden="1" x14ac:dyDescent="0.2">
      <c r="A29" s="80" t="s">
        <v>311</v>
      </c>
      <c r="B29" s="72" t="s">
        <v>312</v>
      </c>
      <c r="C29" s="84"/>
      <c r="D29" s="55">
        <f>INGRESOS!C29</f>
        <v>0</v>
      </c>
    </row>
    <row r="30" spans="1:4" hidden="1" x14ac:dyDescent="0.2">
      <c r="A30" s="165" t="s">
        <v>359</v>
      </c>
      <c r="B30" s="161" t="s">
        <v>360</v>
      </c>
      <c r="C30" s="118"/>
      <c r="D30" s="55">
        <f>INGRESOS!C30</f>
        <v>0</v>
      </c>
    </row>
    <row r="31" spans="1:4" x14ac:dyDescent="0.2">
      <c r="A31" s="68" t="s">
        <v>57</v>
      </c>
      <c r="B31" s="76" t="s">
        <v>321</v>
      </c>
      <c r="C31" s="84"/>
      <c r="D31" s="79">
        <f>D32</f>
        <v>392000</v>
      </c>
    </row>
    <row r="32" spans="1:4" ht="22.5" x14ac:dyDescent="0.2">
      <c r="A32" s="77" t="s">
        <v>58</v>
      </c>
      <c r="B32" s="74" t="s">
        <v>323</v>
      </c>
      <c r="C32" s="84"/>
      <c r="D32" s="130">
        <f>D33+D34+D35</f>
        <v>392000</v>
      </c>
    </row>
    <row r="33" spans="1:4" ht="45" x14ac:dyDescent="0.2">
      <c r="A33" s="155" t="s">
        <v>325</v>
      </c>
      <c r="B33" s="90" t="s">
        <v>324</v>
      </c>
      <c r="C33" s="161" t="s">
        <v>537</v>
      </c>
      <c r="D33" s="129">
        <f>INGRESOS!C33</f>
        <v>372000</v>
      </c>
    </row>
    <row r="34" spans="1:4" ht="22.5" hidden="1" x14ac:dyDescent="0.2">
      <c r="A34" s="268" t="s">
        <v>473</v>
      </c>
      <c r="B34" s="269" t="s">
        <v>471</v>
      </c>
      <c r="C34" s="161"/>
      <c r="D34" s="129">
        <f>INGRESOS!C35</f>
        <v>0</v>
      </c>
    </row>
    <row r="35" spans="1:4" ht="22.5" x14ac:dyDescent="0.2">
      <c r="A35" s="155" t="s">
        <v>380</v>
      </c>
      <c r="B35" s="168" t="s">
        <v>379</v>
      </c>
      <c r="C35" s="168" t="s">
        <v>404</v>
      </c>
      <c r="D35" s="129">
        <f>INGRESOS!C37</f>
        <v>20000</v>
      </c>
    </row>
    <row r="36" spans="1:4" x14ac:dyDescent="0.2">
      <c r="A36" s="78"/>
      <c r="B36" s="72"/>
      <c r="C36" s="72"/>
      <c r="D36" s="154"/>
    </row>
    <row r="37" spans="1:4" x14ac:dyDescent="0.2">
      <c r="A37" s="66" t="s">
        <v>346</v>
      </c>
      <c r="B37" s="65" t="s">
        <v>326</v>
      </c>
      <c r="C37" s="65"/>
      <c r="D37" s="130">
        <f>D39</f>
        <v>553290.73</v>
      </c>
    </row>
    <row r="38" spans="1:4" x14ac:dyDescent="0.2">
      <c r="A38" s="78"/>
      <c r="B38" s="72"/>
      <c r="C38" s="72"/>
      <c r="D38" s="154"/>
    </row>
    <row r="39" spans="1:4" x14ac:dyDescent="0.2">
      <c r="A39" s="66" t="s">
        <v>347</v>
      </c>
      <c r="B39" s="160" t="s">
        <v>348</v>
      </c>
      <c r="C39" s="160"/>
      <c r="D39" s="79">
        <f>D40+D42</f>
        <v>553290.73</v>
      </c>
    </row>
    <row r="40" spans="1:4" x14ac:dyDescent="0.2">
      <c r="A40" s="66" t="s">
        <v>349</v>
      </c>
      <c r="B40" s="74" t="s">
        <v>350</v>
      </c>
      <c r="C40" s="74"/>
      <c r="D40" s="57">
        <f>D41</f>
        <v>407960.66</v>
      </c>
    </row>
    <row r="41" spans="1:4" x14ac:dyDescent="0.2">
      <c r="A41" s="78"/>
      <c r="B41" s="168" t="s">
        <v>351</v>
      </c>
      <c r="C41" s="235" t="s">
        <v>516</v>
      </c>
      <c r="D41" s="154">
        <f>INGRESOS!C46</f>
        <v>407960.66</v>
      </c>
    </row>
    <row r="42" spans="1:4" x14ac:dyDescent="0.2">
      <c r="A42" s="66" t="s">
        <v>352</v>
      </c>
      <c r="B42" s="74" t="s">
        <v>353</v>
      </c>
      <c r="C42" s="74"/>
      <c r="D42" s="57">
        <f>D43+D44</f>
        <v>145330.07</v>
      </c>
    </row>
    <row r="43" spans="1:4" ht="67.5" x14ac:dyDescent="0.2">
      <c r="A43" s="78"/>
      <c r="B43" s="168" t="s">
        <v>413</v>
      </c>
      <c r="C43" s="161" t="s">
        <v>517</v>
      </c>
      <c r="D43" s="154">
        <f>INGRESOS!C48</f>
        <v>40330.07</v>
      </c>
    </row>
    <row r="44" spans="1:4" ht="45" x14ac:dyDescent="0.2">
      <c r="A44" s="67"/>
      <c r="B44" s="168" t="s">
        <v>365</v>
      </c>
      <c r="C44" s="235" t="s">
        <v>553</v>
      </c>
      <c r="D44" s="154">
        <f>INGRESOS!C49</f>
        <v>105000</v>
      </c>
    </row>
    <row r="45" spans="1:4" x14ac:dyDescent="0.2">
      <c r="A45" s="54"/>
      <c r="B45" s="8"/>
      <c r="C45" s="8"/>
      <c r="D45" s="15"/>
    </row>
    <row r="46" spans="1:4" ht="13.5" thickBot="1" x14ac:dyDescent="0.25">
      <c r="A46" s="16" t="s">
        <v>60</v>
      </c>
      <c r="B46" s="17"/>
      <c r="C46" s="17"/>
      <c r="D46" s="18">
        <f>D9+D39</f>
        <v>1304386.73</v>
      </c>
    </row>
    <row r="47" spans="1:4" x14ac:dyDescent="0.2">
      <c r="A47" s="1"/>
    </row>
    <row r="48" spans="1:4" x14ac:dyDescent="0.2">
      <c r="A48" s="1"/>
    </row>
    <row r="49" spans="1:1" x14ac:dyDescent="0.2">
      <c r="A49" s="1"/>
    </row>
    <row r="50" spans="1:1" x14ac:dyDescent="0.2">
      <c r="A50" s="1"/>
    </row>
    <row r="51" spans="1:1" x14ac:dyDescent="0.2">
      <c r="A51" s="176"/>
    </row>
    <row r="52" spans="1:1" x14ac:dyDescent="0.2">
      <c r="A52" s="176"/>
    </row>
    <row r="53" spans="1:1" x14ac:dyDescent="0.2">
      <c r="A53" s="1"/>
    </row>
    <row r="54" spans="1:1" x14ac:dyDescent="0.2">
      <c r="A54" s="1"/>
    </row>
    <row r="55" spans="1:1" x14ac:dyDescent="0.2">
      <c r="A55" s="1"/>
    </row>
    <row r="56" spans="1:1" x14ac:dyDescent="0.2">
      <c r="A56" s="1"/>
    </row>
    <row r="57" spans="1:1" x14ac:dyDescent="0.2">
      <c r="A57" s="122"/>
    </row>
    <row r="58" spans="1:1" x14ac:dyDescent="0.2">
      <c r="A58" s="1"/>
    </row>
    <row r="59" spans="1:1" x14ac:dyDescent="0.2">
      <c r="A59" s="1"/>
    </row>
    <row r="60" spans="1:1" x14ac:dyDescent="0.2">
      <c r="A60" s="1"/>
    </row>
    <row r="61" spans="1:1" x14ac:dyDescent="0.2">
      <c r="A61" s="1"/>
    </row>
    <row r="62" spans="1:1" x14ac:dyDescent="0.2">
      <c r="A62" s="1"/>
    </row>
    <row r="66" spans="1:1" x14ac:dyDescent="0.2">
      <c r="A66" s="1"/>
    </row>
    <row r="67" spans="1:1" x14ac:dyDescent="0.2">
      <c r="A67" s="1"/>
    </row>
  </sheetData>
  <mergeCells count="4">
    <mergeCell ref="A2:D2"/>
    <mergeCell ref="A4:D4"/>
    <mergeCell ref="A5:D5"/>
    <mergeCell ref="A6:D6"/>
  </mergeCells>
  <phoneticPr fontId="2" type="noConversion"/>
  <printOptions horizontalCentered="1"/>
  <pageMargins left="0.31496062992125984" right="0.3" top="0.55118110236220474" bottom="0.64" header="0" footer="0"/>
  <pageSetup orientation="landscape" horizont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2:AF192"/>
  <sheetViews>
    <sheetView zoomScaleNormal="100" workbookViewId="0">
      <pane xSplit="2" ySplit="9" topLeftCell="H65" activePane="bottomRight" state="frozen"/>
      <selection activeCell="E58" sqref="E58"/>
      <selection pane="topRight" activeCell="E58" sqref="E58"/>
      <selection pane="bottomLeft" activeCell="E58" sqref="E58"/>
      <selection pane="bottomRight" activeCell="AE27" sqref="AE27"/>
    </sheetView>
  </sheetViews>
  <sheetFormatPr baseColWidth="10" defaultRowHeight="12.75" x14ac:dyDescent="0.2"/>
  <cols>
    <col min="2" max="2" width="47.85546875" customWidth="1"/>
    <col min="3" max="3" width="14" hidden="1" customWidth="1"/>
    <col min="4" max="4" width="14" style="32" hidden="1" customWidth="1"/>
    <col min="5" max="6" width="14" hidden="1" customWidth="1"/>
    <col min="7" max="7" width="15.140625" hidden="1" customWidth="1"/>
    <col min="8" max="8" width="14" customWidth="1"/>
    <col min="9" max="26" width="14" hidden="1" customWidth="1"/>
    <col min="27" max="27" width="14" style="32" hidden="1" customWidth="1"/>
    <col min="28" max="28" width="14" customWidth="1"/>
    <col min="29" max="29" width="15.140625" customWidth="1"/>
    <col min="31" max="31" width="12.85546875" bestFit="1" customWidth="1"/>
  </cols>
  <sheetData>
    <row r="2" spans="1:32" ht="12.75" customHeight="1" x14ac:dyDescent="0.2">
      <c r="A2" s="336" t="s">
        <v>1</v>
      </c>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row>
    <row r="3" spans="1:32" x14ac:dyDescent="0.2">
      <c r="A3" s="333" t="s">
        <v>515</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row>
    <row r="5" spans="1:32" x14ac:dyDescent="0.2">
      <c r="A5" s="333" t="s">
        <v>412</v>
      </c>
      <c r="B5" s="333"/>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row>
    <row r="6" spans="1:32" x14ac:dyDescent="0.2">
      <c r="A6" s="337"/>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row>
    <row r="7" spans="1:32" x14ac:dyDescent="0.2">
      <c r="A7" s="334" t="s">
        <v>341</v>
      </c>
      <c r="B7" s="335"/>
      <c r="C7" s="335"/>
      <c r="D7" s="335"/>
      <c r="E7" s="335"/>
      <c r="F7" s="335"/>
      <c r="G7" s="335"/>
      <c r="H7" s="335"/>
      <c r="I7" s="335"/>
      <c r="J7" s="335"/>
      <c r="K7" s="335"/>
      <c r="L7" s="335"/>
      <c r="M7" s="335"/>
      <c r="N7" s="335"/>
      <c r="O7" s="335"/>
      <c r="P7" s="335"/>
      <c r="Q7" s="335"/>
      <c r="R7" s="335"/>
      <c r="S7" s="335"/>
      <c r="T7" s="335"/>
      <c r="U7" s="335"/>
      <c r="V7" s="335"/>
      <c r="W7" s="335"/>
      <c r="X7" s="335"/>
      <c r="Y7" s="335"/>
      <c r="Z7" s="335"/>
      <c r="AA7" s="335"/>
      <c r="AB7" s="335"/>
      <c r="AC7" s="335"/>
    </row>
    <row r="8" spans="1:32" ht="15" customHeight="1" thickBot="1" x14ac:dyDescent="0.25">
      <c r="A8" s="267"/>
      <c r="B8" s="267"/>
      <c r="C8" s="267"/>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row>
    <row r="9" spans="1:32" ht="59.25" customHeight="1" thickBot="1" x14ac:dyDescent="0.25">
      <c r="A9" s="44" t="s">
        <v>283</v>
      </c>
      <c r="B9" s="44" t="s">
        <v>67</v>
      </c>
      <c r="C9" s="172" t="s">
        <v>366</v>
      </c>
      <c r="D9" s="224" t="s">
        <v>474</v>
      </c>
      <c r="E9" s="225" t="s">
        <v>475</v>
      </c>
      <c r="F9" s="284" t="s">
        <v>476</v>
      </c>
      <c r="G9" s="163" t="s">
        <v>477</v>
      </c>
      <c r="H9" s="280" t="s">
        <v>490</v>
      </c>
      <c r="I9" s="275" t="s">
        <v>479</v>
      </c>
      <c r="J9" s="273" t="s">
        <v>478</v>
      </c>
      <c r="K9" s="270" t="s">
        <v>342</v>
      </c>
      <c r="L9" s="270" t="s">
        <v>343</v>
      </c>
      <c r="M9" s="272" t="s">
        <v>344</v>
      </c>
      <c r="N9" s="273" t="s">
        <v>480</v>
      </c>
      <c r="O9" s="272" t="s">
        <v>481</v>
      </c>
      <c r="P9" s="272" t="s">
        <v>482</v>
      </c>
      <c r="Q9" s="272" t="s">
        <v>483</v>
      </c>
      <c r="R9" s="272" t="s">
        <v>484</v>
      </c>
      <c r="S9" s="273" t="s">
        <v>533</v>
      </c>
      <c r="T9" s="277" t="s">
        <v>485</v>
      </c>
      <c r="U9" s="278" t="s">
        <v>486</v>
      </c>
      <c r="V9" s="278" t="s">
        <v>487</v>
      </c>
      <c r="W9" s="282" t="s">
        <v>42</v>
      </c>
      <c r="X9" s="282" t="s">
        <v>488</v>
      </c>
      <c r="Y9" s="282" t="s">
        <v>43</v>
      </c>
      <c r="Z9" s="282" t="s">
        <v>489</v>
      </c>
      <c r="AA9" s="282" t="s">
        <v>44</v>
      </c>
      <c r="AB9" s="280" t="s">
        <v>491</v>
      </c>
      <c r="AC9" s="45" t="s">
        <v>284</v>
      </c>
    </row>
    <row r="10" spans="1:32" x14ac:dyDescent="0.2">
      <c r="A10" s="21">
        <v>0</v>
      </c>
      <c r="B10" s="22" t="s">
        <v>87</v>
      </c>
      <c r="C10" s="46">
        <f>C11+C15+C18+C24+C27+C32</f>
        <v>0</v>
      </c>
      <c r="D10" s="46">
        <f t="shared" ref="D10:I10" si="0">D11+D15+D18+D24+D27+D32</f>
        <v>0</v>
      </c>
      <c r="E10" s="46">
        <f t="shared" si="0"/>
        <v>0</v>
      </c>
      <c r="F10" s="46">
        <f t="shared" si="0"/>
        <v>2200</v>
      </c>
      <c r="G10" s="46">
        <f t="shared" si="0"/>
        <v>0</v>
      </c>
      <c r="H10" s="46">
        <f t="shared" si="0"/>
        <v>2200</v>
      </c>
      <c r="I10" s="46">
        <f t="shared" si="0"/>
        <v>185086.46799999999</v>
      </c>
      <c r="J10" s="46">
        <f t="shared" ref="J10:AC10" si="1">J11+J15+J18+J24+J27+J32</f>
        <v>10002.999284</v>
      </c>
      <c r="K10" s="46">
        <f t="shared" si="1"/>
        <v>10002.999284</v>
      </c>
      <c r="L10" s="46">
        <f t="shared" si="1"/>
        <v>0</v>
      </c>
      <c r="M10" s="46">
        <f t="shared" si="1"/>
        <v>0</v>
      </c>
      <c r="N10" s="46">
        <f t="shared" si="1"/>
        <v>175083.468716</v>
      </c>
      <c r="O10" s="46">
        <f t="shared" si="1"/>
        <v>115095.473012</v>
      </c>
      <c r="P10" s="46">
        <f t="shared" ref="P10:R10" si="2">P11+P15+P18+P24+P27+P32</f>
        <v>39991.997135999998</v>
      </c>
      <c r="Q10" s="46">
        <f t="shared" si="2"/>
        <v>14996.998926000002</v>
      </c>
      <c r="R10" s="46">
        <f t="shared" si="2"/>
        <v>4998.9996419999998</v>
      </c>
      <c r="S10" s="46">
        <f t="shared" ref="S10" si="3">S11+S15+S18+S24+S27+S32</f>
        <v>0</v>
      </c>
      <c r="T10" s="46">
        <f t="shared" si="1"/>
        <v>0</v>
      </c>
      <c r="U10" s="46">
        <f t="shared" ref="U10" si="4">U11+U15+U18+U24+U27+U32</f>
        <v>0</v>
      </c>
      <c r="V10" s="46">
        <f t="shared" si="1"/>
        <v>0</v>
      </c>
      <c r="W10" s="46">
        <f t="shared" si="1"/>
        <v>0</v>
      </c>
      <c r="X10" s="46">
        <f t="shared" si="1"/>
        <v>0</v>
      </c>
      <c r="Y10" s="46">
        <f t="shared" si="1"/>
        <v>0</v>
      </c>
      <c r="Z10" s="46">
        <f t="shared" si="1"/>
        <v>0</v>
      </c>
      <c r="AA10" s="46">
        <f>AA11+AA15+AA18+AA24+AA27+AA32</f>
        <v>0</v>
      </c>
      <c r="AB10" s="46">
        <f t="shared" si="1"/>
        <v>185086.46799999999</v>
      </c>
      <c r="AC10" s="46">
        <f t="shared" si="1"/>
        <v>187286.46799999999</v>
      </c>
      <c r="AE10" s="242"/>
      <c r="AF10" s="103"/>
    </row>
    <row r="11" spans="1:32" x14ac:dyDescent="0.2">
      <c r="A11" s="23">
        <v>0.01</v>
      </c>
      <c r="B11" s="24" t="s">
        <v>9</v>
      </c>
      <c r="C11" s="47">
        <f>C12+C13+C14</f>
        <v>0</v>
      </c>
      <c r="D11" s="47">
        <f t="shared" ref="D11:I11" si="5">D12+D13+D14</f>
        <v>0</v>
      </c>
      <c r="E11" s="47">
        <f t="shared" si="5"/>
        <v>0</v>
      </c>
      <c r="F11" s="47">
        <f t="shared" si="5"/>
        <v>0</v>
      </c>
      <c r="G11" s="47">
        <f t="shared" si="5"/>
        <v>0</v>
      </c>
      <c r="H11" s="47">
        <f t="shared" si="5"/>
        <v>0</v>
      </c>
      <c r="I11" s="47">
        <f t="shared" si="5"/>
        <v>144980</v>
      </c>
      <c r="J11" s="47">
        <f t="shared" ref="J11:AC11" si="6">J12+J13+J14</f>
        <v>7831.74</v>
      </c>
      <c r="K11" s="47">
        <f t="shared" si="6"/>
        <v>7831.74</v>
      </c>
      <c r="L11" s="47">
        <f t="shared" si="6"/>
        <v>0</v>
      </c>
      <c r="M11" s="47">
        <f t="shared" si="6"/>
        <v>0</v>
      </c>
      <c r="N11" s="47">
        <f t="shared" si="6"/>
        <v>137148.26</v>
      </c>
      <c r="O11" s="47">
        <f t="shared" si="6"/>
        <v>90157.82</v>
      </c>
      <c r="P11" s="47">
        <f t="shared" ref="P11:R11" si="7">P12+P13+P14</f>
        <v>31326.959999999999</v>
      </c>
      <c r="Q11" s="47">
        <f t="shared" si="7"/>
        <v>11747.61</v>
      </c>
      <c r="R11" s="47">
        <f t="shared" si="7"/>
        <v>3915.87</v>
      </c>
      <c r="S11" s="47">
        <f t="shared" ref="S11" si="8">S12+S13+S14</f>
        <v>0</v>
      </c>
      <c r="T11" s="47">
        <f t="shared" si="6"/>
        <v>0</v>
      </c>
      <c r="U11" s="47">
        <f t="shared" ref="U11" si="9">U12+U13+U14</f>
        <v>0</v>
      </c>
      <c r="V11" s="47">
        <f t="shared" si="6"/>
        <v>0</v>
      </c>
      <c r="W11" s="47">
        <f t="shared" si="6"/>
        <v>0</v>
      </c>
      <c r="X11" s="47">
        <f t="shared" si="6"/>
        <v>0</v>
      </c>
      <c r="Y11" s="47">
        <f t="shared" si="6"/>
        <v>0</v>
      </c>
      <c r="Z11" s="47">
        <f t="shared" si="6"/>
        <v>0</v>
      </c>
      <c r="AA11" s="47">
        <f t="shared" si="6"/>
        <v>0</v>
      </c>
      <c r="AB11" s="47">
        <f t="shared" si="6"/>
        <v>144980</v>
      </c>
      <c r="AC11" s="47">
        <f t="shared" si="6"/>
        <v>144980</v>
      </c>
      <c r="AE11" s="242"/>
      <c r="AF11" s="103"/>
    </row>
    <row r="12" spans="1:32" hidden="1" x14ac:dyDescent="0.2">
      <c r="A12" s="25" t="s">
        <v>136</v>
      </c>
      <c r="B12" s="26" t="s">
        <v>137</v>
      </c>
      <c r="C12" s="48"/>
      <c r="D12" s="48"/>
      <c r="E12" s="48"/>
      <c r="F12" s="48"/>
      <c r="G12" s="48"/>
      <c r="H12" s="48">
        <f>C12+D12+E12+F12+G12</f>
        <v>0</v>
      </c>
      <c r="I12" s="48">
        <f>J12+N12+S12</f>
        <v>0</v>
      </c>
      <c r="J12" s="48">
        <f>K12+L12+M12</f>
        <v>0</v>
      </c>
      <c r="K12" s="48"/>
      <c r="L12" s="48"/>
      <c r="M12" s="48"/>
      <c r="N12" s="48">
        <f>O12+P12+Q12+R12</f>
        <v>0</v>
      </c>
      <c r="O12" s="48"/>
      <c r="P12" s="48"/>
      <c r="Q12" s="48"/>
      <c r="R12" s="48"/>
      <c r="S12" s="48"/>
      <c r="T12" s="48">
        <f>U12+V12</f>
        <v>0</v>
      </c>
      <c r="U12" s="48"/>
      <c r="V12" s="48">
        <f>W12+X12+Y12+Z12+AA12</f>
        <v>0</v>
      </c>
      <c r="W12" s="48"/>
      <c r="X12" s="48"/>
      <c r="Y12" s="48"/>
      <c r="Z12" s="48"/>
      <c r="AA12" s="48"/>
      <c r="AB12" s="48">
        <f>I12+T12</f>
        <v>0</v>
      </c>
      <c r="AC12" s="48">
        <f>H12+AB12</f>
        <v>0</v>
      </c>
      <c r="AE12" s="242"/>
      <c r="AF12" s="103"/>
    </row>
    <row r="13" spans="1:32" x14ac:dyDescent="0.2">
      <c r="A13" s="25" t="s">
        <v>116</v>
      </c>
      <c r="B13" s="26" t="s">
        <v>110</v>
      </c>
      <c r="C13" s="48"/>
      <c r="D13" s="48"/>
      <c r="E13" s="48"/>
      <c r="F13" s="48"/>
      <c r="G13" s="48"/>
      <c r="H13" s="48">
        <f>C13+D13+E13+F13+G13</f>
        <v>0</v>
      </c>
      <c r="I13" s="48">
        <f t="shared" ref="I13:I14" si="10">J13+N13+S13</f>
        <v>144980</v>
      </c>
      <c r="J13" s="48">
        <f t="shared" ref="J13:J14" si="11">K13+L13+M13</f>
        <v>7831.74</v>
      </c>
      <c r="K13" s="48">
        <f>((7243.74)+(24.5*2*12))</f>
        <v>7831.74</v>
      </c>
      <c r="L13" s="48"/>
      <c r="M13" s="48"/>
      <c r="N13" s="48">
        <f t="shared" ref="N13:N14" si="12">O13+P13+Q13+R13</f>
        <v>137148.26</v>
      </c>
      <c r="O13" s="48">
        <f>((83272.83)+(24.5*23*12))+122.99</f>
        <v>90157.82</v>
      </c>
      <c r="P13" s="48">
        <f>((25353.09+3621.87)+(24.5*8*12))</f>
        <v>31326.959999999999</v>
      </c>
      <c r="Q13" s="48">
        <f>((10865.61)+(24.5*3*12))</f>
        <v>11747.61</v>
      </c>
      <c r="R13" s="48">
        <f>((3621.87)+(24.5*12))</f>
        <v>3915.87</v>
      </c>
      <c r="S13" s="48"/>
      <c r="T13" s="48">
        <f>U13+V13</f>
        <v>0</v>
      </c>
      <c r="U13" s="48"/>
      <c r="V13" s="48">
        <f t="shared" ref="V13:V14" si="13">W13+X13+Y13+Z13+AA13</f>
        <v>0</v>
      </c>
      <c r="W13" s="48"/>
      <c r="X13" s="48"/>
      <c r="Y13" s="48"/>
      <c r="Z13" s="48"/>
      <c r="AA13" s="48"/>
      <c r="AB13" s="48">
        <f t="shared" ref="AB13:AB14" si="14">I13+T13</f>
        <v>144980</v>
      </c>
      <c r="AC13" s="48">
        <f t="shared" ref="AC13:AC14" si="15">H13+AB13</f>
        <v>144980</v>
      </c>
      <c r="AE13" s="242"/>
      <c r="AF13" s="103"/>
    </row>
    <row r="14" spans="1:32" s="32" customFormat="1" hidden="1" x14ac:dyDescent="0.2">
      <c r="A14" s="27" t="s">
        <v>354</v>
      </c>
      <c r="B14" s="41" t="s">
        <v>355</v>
      </c>
      <c r="C14" s="48"/>
      <c r="D14" s="48"/>
      <c r="E14" s="48"/>
      <c r="F14" s="48"/>
      <c r="G14" s="48"/>
      <c r="H14" s="48">
        <f>C14+D14+E14+F14+G14</f>
        <v>0</v>
      </c>
      <c r="I14" s="48">
        <f t="shared" si="10"/>
        <v>0</v>
      </c>
      <c r="J14" s="48">
        <f t="shared" si="11"/>
        <v>0</v>
      </c>
      <c r="K14" s="48"/>
      <c r="L14" s="48"/>
      <c r="M14" s="48"/>
      <c r="N14" s="48">
        <f t="shared" si="12"/>
        <v>0</v>
      </c>
      <c r="O14" s="48"/>
      <c r="P14" s="48"/>
      <c r="Q14" s="48"/>
      <c r="R14" s="48"/>
      <c r="S14" s="48"/>
      <c r="T14" s="48">
        <f>U14+V14</f>
        <v>0</v>
      </c>
      <c r="U14" s="48"/>
      <c r="V14" s="48">
        <f t="shared" si="13"/>
        <v>0</v>
      </c>
      <c r="W14" s="48"/>
      <c r="X14" s="48"/>
      <c r="Y14" s="48"/>
      <c r="Z14" s="48"/>
      <c r="AA14" s="48"/>
      <c r="AB14" s="48">
        <f t="shared" si="14"/>
        <v>0</v>
      </c>
      <c r="AC14" s="48">
        <f t="shared" si="15"/>
        <v>0</v>
      </c>
      <c r="AE14" s="243"/>
      <c r="AF14" s="103"/>
    </row>
    <row r="15" spans="1:32" x14ac:dyDescent="0.2">
      <c r="A15" s="23">
        <v>0.02</v>
      </c>
      <c r="B15" s="24" t="s">
        <v>138</v>
      </c>
      <c r="C15" s="47">
        <f>C16+C17</f>
        <v>0</v>
      </c>
      <c r="D15" s="47">
        <f t="shared" ref="D15:I15" si="16">D16+D17</f>
        <v>0</v>
      </c>
      <c r="E15" s="47">
        <f t="shared" si="16"/>
        <v>0</v>
      </c>
      <c r="F15" s="47">
        <f t="shared" si="16"/>
        <v>2200</v>
      </c>
      <c r="G15" s="47">
        <f t="shared" si="16"/>
        <v>0</v>
      </c>
      <c r="H15" s="47">
        <f t="shared" si="16"/>
        <v>2200</v>
      </c>
      <c r="I15" s="47">
        <f t="shared" si="16"/>
        <v>0</v>
      </c>
      <c r="J15" s="47">
        <f t="shared" ref="J15:AC15" si="17">J16+J17</f>
        <v>0</v>
      </c>
      <c r="K15" s="47">
        <f t="shared" si="17"/>
        <v>0</v>
      </c>
      <c r="L15" s="47">
        <f t="shared" si="17"/>
        <v>0</v>
      </c>
      <c r="M15" s="47">
        <f t="shared" si="17"/>
        <v>0</v>
      </c>
      <c r="N15" s="47">
        <f t="shared" si="17"/>
        <v>0</v>
      </c>
      <c r="O15" s="47">
        <f t="shared" si="17"/>
        <v>0</v>
      </c>
      <c r="P15" s="47">
        <f t="shared" ref="P15:R15" si="18">P16+P17</f>
        <v>0</v>
      </c>
      <c r="Q15" s="47">
        <f t="shared" si="18"/>
        <v>0</v>
      </c>
      <c r="R15" s="47">
        <f t="shared" si="18"/>
        <v>0</v>
      </c>
      <c r="S15" s="47">
        <f t="shared" ref="S15" si="19">S16+S17</f>
        <v>0</v>
      </c>
      <c r="T15" s="47">
        <f t="shared" si="17"/>
        <v>0</v>
      </c>
      <c r="U15" s="47">
        <f t="shared" ref="U15" si="20">U16+U17</f>
        <v>0</v>
      </c>
      <c r="V15" s="47">
        <f t="shared" si="17"/>
        <v>0</v>
      </c>
      <c r="W15" s="47">
        <f t="shared" si="17"/>
        <v>0</v>
      </c>
      <c r="X15" s="47">
        <f t="shared" si="17"/>
        <v>0</v>
      </c>
      <c r="Y15" s="47">
        <f t="shared" si="17"/>
        <v>0</v>
      </c>
      <c r="Z15" s="47">
        <f t="shared" si="17"/>
        <v>0</v>
      </c>
      <c r="AA15" s="47">
        <f>AA16+AA17</f>
        <v>0</v>
      </c>
      <c r="AB15" s="47">
        <f t="shared" si="17"/>
        <v>0</v>
      </c>
      <c r="AC15" s="47">
        <f t="shared" si="17"/>
        <v>2200</v>
      </c>
      <c r="AE15" s="242"/>
      <c r="AF15" s="103"/>
    </row>
    <row r="16" spans="1:32" ht="12.75" hidden="1" customHeight="1" x14ac:dyDescent="0.2">
      <c r="A16" s="25" t="s">
        <v>139</v>
      </c>
      <c r="B16" s="26" t="s">
        <v>140</v>
      </c>
      <c r="C16" s="48"/>
      <c r="D16" s="48"/>
      <c r="E16" s="48"/>
      <c r="F16" s="48"/>
      <c r="G16" s="48"/>
      <c r="H16" s="48">
        <f t="shared" ref="H16:H17" si="21">C16+D16+E16+F16+G16</f>
        <v>0</v>
      </c>
      <c r="I16" s="48">
        <f t="shared" ref="I16:I17" si="22">J16+N16+S16</f>
        <v>0</v>
      </c>
      <c r="J16" s="48">
        <f t="shared" ref="J16:J17" si="23">K16+L16+M16</f>
        <v>0</v>
      </c>
      <c r="K16" s="48"/>
      <c r="L16" s="48"/>
      <c r="M16" s="48"/>
      <c r="N16" s="48">
        <f t="shared" ref="N16:N17" si="24">O16+P16+Q16+R16</f>
        <v>0</v>
      </c>
      <c r="O16" s="48"/>
      <c r="P16" s="48"/>
      <c r="Q16" s="48"/>
      <c r="R16" s="48"/>
      <c r="S16" s="48"/>
      <c r="T16" s="48">
        <f t="shared" ref="T16:T17" si="25">U16+V16</f>
        <v>0</v>
      </c>
      <c r="U16" s="48"/>
      <c r="V16" s="48">
        <f t="shared" ref="V16:V17" si="26">W16+X16+Y16+Z16+AA16</f>
        <v>0</v>
      </c>
      <c r="W16" s="48"/>
      <c r="X16" s="48"/>
      <c r="Y16" s="48"/>
      <c r="Z16" s="48"/>
      <c r="AA16" s="48"/>
      <c r="AB16" s="48">
        <f t="shared" ref="AB16:AB17" si="27">I16+T16</f>
        <v>0</v>
      </c>
      <c r="AC16" s="48">
        <f t="shared" ref="AC16:AC17" si="28">H16+AB16</f>
        <v>0</v>
      </c>
      <c r="AE16" s="242"/>
      <c r="AF16" s="103"/>
    </row>
    <row r="17" spans="1:32" x14ac:dyDescent="0.2">
      <c r="A17" s="25" t="s">
        <v>141</v>
      </c>
      <c r="B17" s="26" t="s">
        <v>142</v>
      </c>
      <c r="C17" s="48"/>
      <c r="D17" s="48"/>
      <c r="E17" s="48"/>
      <c r="F17" s="48">
        <v>2200</v>
      </c>
      <c r="G17" s="48"/>
      <c r="H17" s="48">
        <f t="shared" si="21"/>
        <v>2200</v>
      </c>
      <c r="I17" s="48">
        <f t="shared" si="22"/>
        <v>0</v>
      </c>
      <c r="J17" s="48">
        <f t="shared" si="23"/>
        <v>0</v>
      </c>
      <c r="K17" s="48"/>
      <c r="L17" s="48"/>
      <c r="M17" s="48"/>
      <c r="N17" s="48">
        <f t="shared" si="24"/>
        <v>0</v>
      </c>
      <c r="O17" s="48"/>
      <c r="P17" s="48"/>
      <c r="Q17" s="48"/>
      <c r="R17" s="48"/>
      <c r="S17" s="48"/>
      <c r="T17" s="48">
        <f t="shared" si="25"/>
        <v>0</v>
      </c>
      <c r="U17" s="48"/>
      <c r="V17" s="48">
        <f t="shared" si="26"/>
        <v>0</v>
      </c>
      <c r="W17" s="48"/>
      <c r="X17" s="48"/>
      <c r="Y17" s="48"/>
      <c r="Z17" s="48"/>
      <c r="AA17" s="48"/>
      <c r="AB17" s="48">
        <f t="shared" si="27"/>
        <v>0</v>
      </c>
      <c r="AC17" s="48">
        <f t="shared" si="28"/>
        <v>2200</v>
      </c>
      <c r="AE17" s="242"/>
      <c r="AF17" s="103"/>
    </row>
    <row r="18" spans="1:32" x14ac:dyDescent="0.2">
      <c r="A18" s="23">
        <v>0.03</v>
      </c>
      <c r="B18" s="24" t="s">
        <v>117</v>
      </c>
      <c r="C18" s="47">
        <f>C19+C20+C21+C22+C23</f>
        <v>0</v>
      </c>
      <c r="D18" s="47">
        <f t="shared" ref="D18:I18" si="29">D19+D20+D21+D22+D23</f>
        <v>0</v>
      </c>
      <c r="E18" s="47">
        <f t="shared" si="29"/>
        <v>0</v>
      </c>
      <c r="F18" s="47">
        <f t="shared" si="29"/>
        <v>0</v>
      </c>
      <c r="G18" s="47">
        <f t="shared" si="29"/>
        <v>0</v>
      </c>
      <c r="H18" s="47">
        <f t="shared" si="29"/>
        <v>0</v>
      </c>
      <c r="I18" s="47">
        <f t="shared" si="29"/>
        <v>12081.834000000001</v>
      </c>
      <c r="J18" s="47">
        <f t="shared" ref="J18:AC18" si="30">J19+J20+J21+J22+J23</f>
        <v>657.38394199999993</v>
      </c>
      <c r="K18" s="47">
        <f t="shared" si="30"/>
        <v>657.38394199999993</v>
      </c>
      <c r="L18" s="47">
        <f t="shared" si="30"/>
        <v>0</v>
      </c>
      <c r="M18" s="47">
        <f t="shared" si="30"/>
        <v>0</v>
      </c>
      <c r="N18" s="47">
        <f t="shared" si="30"/>
        <v>11424.450058</v>
      </c>
      <c r="O18" s="47">
        <f t="shared" si="30"/>
        <v>7510.1464060000008</v>
      </c>
      <c r="P18" s="47">
        <f t="shared" ref="P18:R18" si="31">P19+P20+P21+P22+P23</f>
        <v>2609.5357679999997</v>
      </c>
      <c r="Q18" s="47">
        <f t="shared" si="31"/>
        <v>978.57591300000001</v>
      </c>
      <c r="R18" s="47">
        <f t="shared" si="31"/>
        <v>326.19197099999997</v>
      </c>
      <c r="S18" s="47">
        <f t="shared" ref="S18" si="32">S19+S20+S21+S22+S23</f>
        <v>0</v>
      </c>
      <c r="T18" s="47">
        <f t="shared" si="30"/>
        <v>0</v>
      </c>
      <c r="U18" s="47">
        <f t="shared" ref="U18" si="33">U19+U20+U21+U22+U23</f>
        <v>0</v>
      </c>
      <c r="V18" s="47">
        <f t="shared" si="30"/>
        <v>0</v>
      </c>
      <c r="W18" s="47">
        <f t="shared" si="30"/>
        <v>0</v>
      </c>
      <c r="X18" s="47">
        <f t="shared" si="30"/>
        <v>0</v>
      </c>
      <c r="Y18" s="47">
        <f t="shared" si="30"/>
        <v>0</v>
      </c>
      <c r="Z18" s="47">
        <f t="shared" si="30"/>
        <v>0</v>
      </c>
      <c r="AA18" s="47">
        <f>AA19+AA20+AA21+AA22+AA23</f>
        <v>0</v>
      </c>
      <c r="AB18" s="47">
        <f t="shared" si="30"/>
        <v>12081.834000000001</v>
      </c>
      <c r="AC18" s="47">
        <f t="shared" si="30"/>
        <v>12081.834000000001</v>
      </c>
      <c r="AE18" s="242"/>
      <c r="AF18" s="103"/>
    </row>
    <row r="19" spans="1:32" hidden="1" x14ac:dyDescent="0.2">
      <c r="A19" s="25" t="s">
        <v>143</v>
      </c>
      <c r="B19" s="26" t="s">
        <v>144</v>
      </c>
      <c r="C19" s="48"/>
      <c r="D19" s="48"/>
      <c r="E19" s="48"/>
      <c r="F19" s="48"/>
      <c r="G19" s="48"/>
      <c r="H19" s="48">
        <f t="shared" ref="H19:H31" si="34">C19+D19+E19+F19+G19</f>
        <v>0</v>
      </c>
      <c r="I19" s="48">
        <f t="shared" ref="I19:I23" si="35">J19+N19+S19</f>
        <v>0</v>
      </c>
      <c r="J19" s="48">
        <f t="shared" ref="J19:J23" si="36">K19+L19+M19</f>
        <v>0</v>
      </c>
      <c r="K19" s="48"/>
      <c r="L19" s="48"/>
      <c r="M19" s="48"/>
      <c r="N19" s="48">
        <f t="shared" ref="N19:N20" si="37">O19+P19+Q19+R19</f>
        <v>0</v>
      </c>
      <c r="O19" s="48"/>
      <c r="P19" s="48"/>
      <c r="Q19" s="48"/>
      <c r="R19" s="48"/>
      <c r="S19" s="48"/>
      <c r="T19" s="48">
        <f t="shared" ref="T19:T20" si="38">U19+V19</f>
        <v>0</v>
      </c>
      <c r="U19" s="48"/>
      <c r="V19" s="48">
        <f t="shared" ref="V19:V20" si="39">W19+X19+Y19+Z19+AA19</f>
        <v>0</v>
      </c>
      <c r="W19" s="48"/>
      <c r="X19" s="48"/>
      <c r="Y19" s="48"/>
      <c r="Z19" s="48"/>
      <c r="AA19" s="48"/>
      <c r="AB19" s="48">
        <f t="shared" ref="AB19:AB21" si="40">I19+T19</f>
        <v>0</v>
      </c>
      <c r="AC19" s="48">
        <f t="shared" ref="AC19:AC23" si="41">H19+AB19</f>
        <v>0</v>
      </c>
      <c r="AE19" s="242"/>
      <c r="AF19" s="103"/>
    </row>
    <row r="20" spans="1:32" hidden="1" x14ac:dyDescent="0.2">
      <c r="A20" s="25" t="s">
        <v>145</v>
      </c>
      <c r="B20" s="26" t="s">
        <v>10</v>
      </c>
      <c r="C20" s="48"/>
      <c r="D20" s="48"/>
      <c r="E20" s="48"/>
      <c r="F20" s="48"/>
      <c r="G20" s="48"/>
      <c r="H20" s="48">
        <f t="shared" si="34"/>
        <v>0</v>
      </c>
      <c r="I20" s="48">
        <f t="shared" si="35"/>
        <v>0</v>
      </c>
      <c r="J20" s="48">
        <f t="shared" si="36"/>
        <v>0</v>
      </c>
      <c r="K20" s="48"/>
      <c r="L20" s="48"/>
      <c r="M20" s="48"/>
      <c r="N20" s="48">
        <f t="shared" si="37"/>
        <v>0</v>
      </c>
      <c r="O20" s="48"/>
      <c r="P20" s="48"/>
      <c r="Q20" s="48"/>
      <c r="R20" s="48"/>
      <c r="S20" s="48"/>
      <c r="T20" s="48">
        <f t="shared" si="38"/>
        <v>0</v>
      </c>
      <c r="U20" s="48"/>
      <c r="V20" s="48">
        <f t="shared" si="39"/>
        <v>0</v>
      </c>
      <c r="W20" s="48"/>
      <c r="X20" s="48"/>
      <c r="Y20" s="48"/>
      <c r="Z20" s="48"/>
      <c r="AA20" s="48"/>
      <c r="AB20" s="48">
        <f t="shared" si="40"/>
        <v>0</v>
      </c>
      <c r="AC20" s="48">
        <f t="shared" si="41"/>
        <v>0</v>
      </c>
      <c r="AE20" s="242"/>
      <c r="AF20" s="103"/>
    </row>
    <row r="21" spans="1:32" s="32" customFormat="1" x14ac:dyDescent="0.2">
      <c r="A21" s="27" t="s">
        <v>109</v>
      </c>
      <c r="B21" s="41" t="s">
        <v>108</v>
      </c>
      <c r="C21" s="48">
        <f>(C12+C13+C14+C16+C19+C20+C23)*8.33%</f>
        <v>0</v>
      </c>
      <c r="D21" s="48">
        <f t="shared" ref="D21:G21" si="42">(D12+D13+D14+D16+D19+D20+D23)*8.33%</f>
        <v>0</v>
      </c>
      <c r="E21" s="48">
        <f t="shared" si="42"/>
        <v>0</v>
      </c>
      <c r="F21" s="48">
        <f t="shared" si="42"/>
        <v>0</v>
      </c>
      <c r="G21" s="48">
        <f t="shared" si="42"/>
        <v>0</v>
      </c>
      <c r="H21" s="48">
        <f t="shared" si="34"/>
        <v>0</v>
      </c>
      <c r="I21" s="48">
        <f t="shared" si="35"/>
        <v>12081.834000000001</v>
      </c>
      <c r="J21" s="48">
        <f t="shared" si="36"/>
        <v>657.38394199999993</v>
      </c>
      <c r="K21" s="48">
        <f>(K12+K13+K14+K16+K19+K20+K23)*8.33%+5</f>
        <v>657.38394199999993</v>
      </c>
      <c r="L21" s="48">
        <f t="shared" ref="L21" si="43">(L12+L13+L14+L16+L19+L20+L23)*8.33%</f>
        <v>0</v>
      </c>
      <c r="M21" s="48">
        <f t="shared" ref="M21" si="44">(M12+M13+M14+M16+M19+M20+M23)*8.33%</f>
        <v>0</v>
      </c>
      <c r="N21" s="48">
        <f t="shared" ref="N21" si="45">N13*8.33%</f>
        <v>11424.450058</v>
      </c>
      <c r="O21" s="48">
        <f t="shared" ref="O21" si="46">(O12+O13+O14+O16+O19+O20+O23)*8.33%</f>
        <v>7510.1464060000008</v>
      </c>
      <c r="P21" s="48">
        <f t="shared" ref="P21" si="47">(P12+P13+P14+P16+P19+P20+P23)*8.33%</f>
        <v>2609.5357679999997</v>
      </c>
      <c r="Q21" s="48">
        <f t="shared" ref="Q21" si="48">(Q12+Q13+Q14+Q16+Q19+Q20+Q23)*8.33%</f>
        <v>978.57591300000001</v>
      </c>
      <c r="R21" s="48">
        <f t="shared" ref="R21" si="49">(R12+R13+R14+R16+R19+R20+R23)*8.33%</f>
        <v>326.19197099999997</v>
      </c>
      <c r="S21" s="48">
        <f t="shared" ref="S21" si="50">(S12+S13+S14+S16+S19+S20+S23)*8.33%</f>
        <v>0</v>
      </c>
      <c r="T21" s="48">
        <f t="shared" ref="T21:T23" si="51">U21+V21</f>
        <v>0</v>
      </c>
      <c r="U21" s="48">
        <f t="shared" ref="U21" si="52">(U12+U13+U14+U16+U19+U20+U23)*8.33%</f>
        <v>0</v>
      </c>
      <c r="V21" s="48">
        <f>V13*8.33%</f>
        <v>0</v>
      </c>
      <c r="W21" s="48">
        <f t="shared" ref="W21" si="53">(W12+W13+W14+W16+W19+W20+W23)*8.33%</f>
        <v>0</v>
      </c>
      <c r="X21" s="48">
        <f t="shared" ref="X21" si="54">(X12+X13+X14+X16+X19+X20+X23)*8.33%</f>
        <v>0</v>
      </c>
      <c r="Y21" s="48">
        <f t="shared" ref="Y21" si="55">(Y12+Y13+Y14+Y16+Y19+Y20+Y23)*8.33%</f>
        <v>0</v>
      </c>
      <c r="Z21" s="48">
        <f>(Z12+Z13+Z14+Z16+Z19+Z20+Z23)*8.33%</f>
        <v>0</v>
      </c>
      <c r="AA21" s="48">
        <f t="shared" ref="AA21" si="56">(AA12+AA13+AA14+AA16+AA19+AA20+AA23)*8.33%</f>
        <v>0</v>
      </c>
      <c r="AB21" s="48">
        <f t="shared" si="40"/>
        <v>12081.834000000001</v>
      </c>
      <c r="AC21" s="48">
        <f t="shared" si="41"/>
        <v>12081.834000000001</v>
      </c>
      <c r="AE21" s="243"/>
      <c r="AF21" s="126"/>
    </row>
    <row r="22" spans="1:32" hidden="1" x14ac:dyDescent="0.2">
      <c r="A22" s="25" t="s">
        <v>146</v>
      </c>
      <c r="B22" s="26" t="s">
        <v>147</v>
      </c>
      <c r="C22" s="48"/>
      <c r="D22" s="48"/>
      <c r="E22" s="48"/>
      <c r="F22" s="48"/>
      <c r="G22" s="48"/>
      <c r="H22" s="48">
        <f t="shared" si="34"/>
        <v>0</v>
      </c>
      <c r="I22" s="48">
        <f t="shared" si="35"/>
        <v>0</v>
      </c>
      <c r="J22" s="48">
        <f t="shared" si="36"/>
        <v>0</v>
      </c>
      <c r="K22" s="48"/>
      <c r="L22" s="48"/>
      <c r="M22" s="48"/>
      <c r="N22" s="48">
        <f t="shared" ref="N22:N23" si="57">O22+P22+Q22+R22</f>
        <v>0</v>
      </c>
      <c r="O22" s="48"/>
      <c r="P22" s="48"/>
      <c r="Q22" s="48"/>
      <c r="R22" s="48"/>
      <c r="S22" s="48"/>
      <c r="T22" s="48">
        <f t="shared" si="51"/>
        <v>0</v>
      </c>
      <c r="U22" s="48"/>
      <c r="V22" s="48">
        <f t="shared" ref="V22:V23" si="58">W22+X22+Y22+Z22+AA22</f>
        <v>0</v>
      </c>
      <c r="W22" s="48"/>
      <c r="X22" s="48"/>
      <c r="Y22" s="48"/>
      <c r="Z22" s="48"/>
      <c r="AA22" s="48"/>
      <c r="AB22" s="48">
        <f t="shared" ref="AB22:AB23" si="59">I22+T22</f>
        <v>0</v>
      </c>
      <c r="AC22" s="48">
        <f t="shared" si="41"/>
        <v>0</v>
      </c>
      <c r="AE22" s="242"/>
      <c r="AF22" s="103"/>
    </row>
    <row r="23" spans="1:32" hidden="1" x14ac:dyDescent="0.2">
      <c r="A23" s="25" t="s">
        <v>148</v>
      </c>
      <c r="B23" s="26" t="s">
        <v>149</v>
      </c>
      <c r="C23" s="48"/>
      <c r="D23" s="48"/>
      <c r="E23" s="48"/>
      <c r="F23" s="48"/>
      <c r="G23" s="48"/>
      <c r="H23" s="48">
        <f t="shared" si="34"/>
        <v>0</v>
      </c>
      <c r="I23" s="48">
        <f t="shared" si="35"/>
        <v>0</v>
      </c>
      <c r="J23" s="48">
        <f t="shared" si="36"/>
        <v>0</v>
      </c>
      <c r="K23" s="48"/>
      <c r="L23" s="48"/>
      <c r="M23" s="48"/>
      <c r="N23" s="48">
        <f t="shared" si="57"/>
        <v>0</v>
      </c>
      <c r="O23" s="48"/>
      <c r="P23" s="48"/>
      <c r="Q23" s="48"/>
      <c r="R23" s="48"/>
      <c r="S23" s="48"/>
      <c r="T23" s="48">
        <f t="shared" si="51"/>
        <v>0</v>
      </c>
      <c r="U23" s="48"/>
      <c r="V23" s="48">
        <f t="shared" si="58"/>
        <v>0</v>
      </c>
      <c r="W23" s="48"/>
      <c r="X23" s="48"/>
      <c r="Y23" s="48"/>
      <c r="Z23" s="48"/>
      <c r="AA23" s="48"/>
      <c r="AB23" s="48">
        <f t="shared" si="59"/>
        <v>0</v>
      </c>
      <c r="AC23" s="48">
        <f t="shared" si="41"/>
        <v>0</v>
      </c>
      <c r="AE23" s="242"/>
      <c r="AF23" s="103"/>
    </row>
    <row r="24" spans="1:32" ht="22.5" x14ac:dyDescent="0.2">
      <c r="A24" s="37">
        <v>0.04</v>
      </c>
      <c r="B24" s="38" t="s">
        <v>150</v>
      </c>
      <c r="C24" s="49">
        <f>C25+C26</f>
        <v>0</v>
      </c>
      <c r="D24" s="49">
        <f t="shared" ref="D24:I24" si="60">D25+D26</f>
        <v>0</v>
      </c>
      <c r="E24" s="49">
        <f t="shared" si="60"/>
        <v>0</v>
      </c>
      <c r="F24" s="49">
        <f t="shared" si="60"/>
        <v>0</v>
      </c>
      <c r="G24" s="49">
        <f t="shared" si="60"/>
        <v>0</v>
      </c>
      <c r="H24" s="49">
        <f t="shared" si="60"/>
        <v>0</v>
      </c>
      <c r="I24" s="49">
        <f t="shared" si="60"/>
        <v>14135.55</v>
      </c>
      <c r="J24" s="49">
        <f t="shared" ref="J24:AC24" si="61">J25+J26</f>
        <v>763.59464999999989</v>
      </c>
      <c r="K24" s="49">
        <f t="shared" si="61"/>
        <v>763.59464999999989</v>
      </c>
      <c r="L24" s="49">
        <f t="shared" si="61"/>
        <v>0</v>
      </c>
      <c r="M24" s="49">
        <f t="shared" si="61"/>
        <v>0</v>
      </c>
      <c r="N24" s="49">
        <f t="shared" si="61"/>
        <v>13371.95535</v>
      </c>
      <c r="O24" s="49">
        <f t="shared" si="61"/>
        <v>8790.3874500000002</v>
      </c>
      <c r="P24" s="49">
        <f t="shared" ref="P24:R24" si="62">P25+P26</f>
        <v>3054.3785999999996</v>
      </c>
      <c r="Q24" s="49">
        <f t="shared" si="62"/>
        <v>1145.391975</v>
      </c>
      <c r="R24" s="49">
        <f t="shared" si="62"/>
        <v>381.79732499999994</v>
      </c>
      <c r="S24" s="49">
        <f t="shared" ref="S24" si="63">S25+S26</f>
        <v>0</v>
      </c>
      <c r="T24" s="49">
        <f t="shared" si="61"/>
        <v>0</v>
      </c>
      <c r="U24" s="49">
        <f t="shared" ref="U24" si="64">U25+U26</f>
        <v>0</v>
      </c>
      <c r="V24" s="49">
        <f t="shared" si="61"/>
        <v>0</v>
      </c>
      <c r="W24" s="49">
        <f t="shared" si="61"/>
        <v>0</v>
      </c>
      <c r="X24" s="49">
        <f t="shared" si="61"/>
        <v>0</v>
      </c>
      <c r="Y24" s="49">
        <f t="shared" si="61"/>
        <v>0</v>
      </c>
      <c r="Z24" s="49">
        <f t="shared" si="61"/>
        <v>0</v>
      </c>
      <c r="AA24" s="49">
        <f>AA25+AA26</f>
        <v>0</v>
      </c>
      <c r="AB24" s="49">
        <f t="shared" si="61"/>
        <v>14135.55</v>
      </c>
      <c r="AC24" s="49">
        <f t="shared" si="61"/>
        <v>14135.55</v>
      </c>
      <c r="AE24" s="242"/>
      <c r="AF24" s="103"/>
    </row>
    <row r="25" spans="1:32" ht="22.5" x14ac:dyDescent="0.2">
      <c r="A25" s="33" t="s">
        <v>68</v>
      </c>
      <c r="B25" s="35" t="s">
        <v>151</v>
      </c>
      <c r="C25" s="50">
        <f>(C12+C13+C14+C16+C19+C20+C23)*9.25%</f>
        <v>0</v>
      </c>
      <c r="D25" s="50">
        <f t="shared" ref="D25:G25" si="65">(D12+D13+D14+D16+D19+D20+D23)*9.25%</f>
        <v>0</v>
      </c>
      <c r="E25" s="50">
        <f t="shared" si="65"/>
        <v>0</v>
      </c>
      <c r="F25" s="50">
        <f t="shared" si="65"/>
        <v>0</v>
      </c>
      <c r="G25" s="50">
        <f t="shared" si="65"/>
        <v>0</v>
      </c>
      <c r="H25" s="48">
        <f>C25+D25+E25+F25+G25</f>
        <v>0</v>
      </c>
      <c r="I25" s="48">
        <f t="shared" ref="I25:I26" si="66">J25+N25+S25</f>
        <v>13410.65</v>
      </c>
      <c r="J25" s="48">
        <f t="shared" ref="J25:J26" si="67">K25+L25+M25</f>
        <v>724.43594999999993</v>
      </c>
      <c r="K25" s="50">
        <f>(K12+K13+K14+K16+K19+K20+K23)*9.25%</f>
        <v>724.43594999999993</v>
      </c>
      <c r="L25" s="50">
        <f>(L12+L13+L14+L16+L19+L20+L23)*9.25%</f>
        <v>0</v>
      </c>
      <c r="M25" s="50">
        <f>(M12+M13+M14+M16+M19+M20+M23)*9.25%</f>
        <v>0</v>
      </c>
      <c r="N25" s="48">
        <f>O25+P25+Q25+R25</f>
        <v>12686.21405</v>
      </c>
      <c r="O25" s="50">
        <f>(O12+O13+O14+O16+O19+O20+O23)*9.25%</f>
        <v>8339.5983500000002</v>
      </c>
      <c r="P25" s="50">
        <f t="shared" ref="P25:R25" si="68">(P12+P13+P14+P16+P19+P20+P23)*9.25%</f>
        <v>2897.7437999999997</v>
      </c>
      <c r="Q25" s="50">
        <f t="shared" si="68"/>
        <v>1086.6539250000001</v>
      </c>
      <c r="R25" s="50">
        <f t="shared" si="68"/>
        <v>362.21797499999997</v>
      </c>
      <c r="S25" s="50">
        <f t="shared" ref="S25" si="69">(S12+S13+S14+S16+S19+S20+S23)*9.25%</f>
        <v>0</v>
      </c>
      <c r="T25" s="48">
        <f t="shared" ref="T25:T26" si="70">U25+V25</f>
        <v>0</v>
      </c>
      <c r="U25" s="50">
        <f t="shared" ref="U25" si="71">(U12+U13+U14+U16+U19+U20+U23)*9.25%</f>
        <v>0</v>
      </c>
      <c r="V25" s="48">
        <f t="shared" ref="V25:V26" si="72">W25+X25+Y25+Z25+AA25</f>
        <v>0</v>
      </c>
      <c r="W25" s="50">
        <f t="shared" ref="W25:AA25" si="73">(W12+W13+W14+W16+W19+W20+W23)*9.25%</f>
        <v>0</v>
      </c>
      <c r="X25" s="50">
        <f t="shared" si="73"/>
        <v>0</v>
      </c>
      <c r="Y25" s="50">
        <f t="shared" si="73"/>
        <v>0</v>
      </c>
      <c r="Z25" s="50">
        <f t="shared" si="73"/>
        <v>0</v>
      </c>
      <c r="AA25" s="50">
        <f t="shared" si="73"/>
        <v>0</v>
      </c>
      <c r="AB25" s="48">
        <f t="shared" ref="AB25:AB26" si="74">I25+T25</f>
        <v>13410.65</v>
      </c>
      <c r="AC25" s="48">
        <f t="shared" ref="AC25:AC26" si="75">H25+AB25</f>
        <v>13410.65</v>
      </c>
      <c r="AE25" s="242"/>
      <c r="AF25" s="103"/>
    </row>
    <row r="26" spans="1:32" x14ac:dyDescent="0.2">
      <c r="A26" s="25" t="s">
        <v>69</v>
      </c>
      <c r="B26" s="26" t="s">
        <v>133</v>
      </c>
      <c r="C26" s="48">
        <f>(C12+C13+C14+C16+C19+C20+C23)*0.5%</f>
        <v>0</v>
      </c>
      <c r="D26" s="48">
        <f t="shared" ref="D26:G26" si="76">(D12+D13+D14+D16+D19+D20+D23)*0.5%</f>
        <v>0</v>
      </c>
      <c r="E26" s="48">
        <f t="shared" si="76"/>
        <v>0</v>
      </c>
      <c r="F26" s="48">
        <f t="shared" si="76"/>
        <v>0</v>
      </c>
      <c r="G26" s="48">
        <f t="shared" si="76"/>
        <v>0</v>
      </c>
      <c r="H26" s="48">
        <f t="shared" si="34"/>
        <v>0</v>
      </c>
      <c r="I26" s="48">
        <f t="shared" si="66"/>
        <v>724.9</v>
      </c>
      <c r="J26" s="48">
        <f t="shared" si="67"/>
        <v>39.158700000000003</v>
      </c>
      <c r="K26" s="48">
        <f>(K12+K13+K14+K16+K19+K20+K23)*0.5%</f>
        <v>39.158700000000003</v>
      </c>
      <c r="L26" s="48">
        <f>(L12+L13+L14+L16+L19+L20+L23)*0.5%</f>
        <v>0</v>
      </c>
      <c r="M26" s="48">
        <f>(M12+M13+M14+M16+M19+M20+M23)*0.5%</f>
        <v>0</v>
      </c>
      <c r="N26" s="48">
        <f>O26+P26+Q26+R26</f>
        <v>685.74130000000002</v>
      </c>
      <c r="O26" s="48">
        <f>(O12+O13+O14+O16+O19+O20+O23)*0.5%</f>
        <v>450.78910000000002</v>
      </c>
      <c r="P26" s="48">
        <f t="shared" ref="P26:R26" si="77">(P12+P13+P14+P16+P19+P20+P23)*0.5%</f>
        <v>156.63480000000001</v>
      </c>
      <c r="Q26" s="48">
        <f t="shared" si="77"/>
        <v>58.738050000000001</v>
      </c>
      <c r="R26" s="48">
        <f t="shared" si="77"/>
        <v>19.579350000000002</v>
      </c>
      <c r="S26" s="48">
        <f t="shared" ref="S26" si="78">(S12+S13+S14+S16+S19+S20+S23)*0.5%</f>
        <v>0</v>
      </c>
      <c r="T26" s="48">
        <f t="shared" si="70"/>
        <v>0</v>
      </c>
      <c r="U26" s="48">
        <f t="shared" ref="U26" si="79">(U12+U13+U14+U16+U19+U20+U23)*0.5%</f>
        <v>0</v>
      </c>
      <c r="V26" s="48">
        <f t="shared" si="72"/>
        <v>0</v>
      </c>
      <c r="W26" s="48">
        <f t="shared" ref="W26:AA26" si="80">(W12+W13+W14+W16+W19+W20+W23)*0.5%</f>
        <v>0</v>
      </c>
      <c r="X26" s="48">
        <f t="shared" si="80"/>
        <v>0</v>
      </c>
      <c r="Y26" s="48">
        <f t="shared" si="80"/>
        <v>0</v>
      </c>
      <c r="Z26" s="48">
        <f t="shared" si="80"/>
        <v>0</v>
      </c>
      <c r="AA26" s="48">
        <f t="shared" si="80"/>
        <v>0</v>
      </c>
      <c r="AB26" s="48">
        <f t="shared" si="74"/>
        <v>724.9</v>
      </c>
      <c r="AC26" s="48">
        <f t="shared" si="75"/>
        <v>724.9</v>
      </c>
      <c r="AE26" s="242"/>
      <c r="AF26" s="103"/>
    </row>
    <row r="27" spans="1:32" ht="22.5" x14ac:dyDescent="0.2">
      <c r="A27" s="37">
        <v>0.05</v>
      </c>
      <c r="B27" s="38" t="s">
        <v>11</v>
      </c>
      <c r="C27" s="49">
        <f>C28+C29+C30+C31</f>
        <v>0</v>
      </c>
      <c r="D27" s="49">
        <f t="shared" ref="D27:I27" si="81">D28+D29+D30+D31</f>
        <v>0</v>
      </c>
      <c r="E27" s="49">
        <f t="shared" si="81"/>
        <v>0</v>
      </c>
      <c r="F27" s="49">
        <f t="shared" si="81"/>
        <v>0</v>
      </c>
      <c r="G27" s="49">
        <f t="shared" si="81"/>
        <v>0</v>
      </c>
      <c r="H27" s="49">
        <f t="shared" si="81"/>
        <v>0</v>
      </c>
      <c r="I27" s="49">
        <f t="shared" si="81"/>
        <v>13889.084000000001</v>
      </c>
      <c r="J27" s="49">
        <f t="shared" ref="J27:AC27" si="82">J28+J29+J30+J31</f>
        <v>750.28069199999993</v>
      </c>
      <c r="K27" s="49">
        <f t="shared" si="82"/>
        <v>750.28069199999993</v>
      </c>
      <c r="L27" s="49">
        <f t="shared" si="82"/>
        <v>0</v>
      </c>
      <c r="M27" s="49">
        <f t="shared" si="82"/>
        <v>0</v>
      </c>
      <c r="N27" s="49">
        <f t="shared" si="82"/>
        <v>13138.803308</v>
      </c>
      <c r="O27" s="49">
        <f t="shared" si="82"/>
        <v>8637.1191560000007</v>
      </c>
      <c r="P27" s="49">
        <f t="shared" ref="P27:R27" si="83">P28+P29+P30+P31</f>
        <v>3001.1227679999997</v>
      </c>
      <c r="Q27" s="49">
        <f t="shared" si="83"/>
        <v>1125.421038</v>
      </c>
      <c r="R27" s="49">
        <f t="shared" si="83"/>
        <v>375.14034599999997</v>
      </c>
      <c r="S27" s="49">
        <f t="shared" ref="S27" si="84">S28+S29+S30+S31</f>
        <v>0</v>
      </c>
      <c r="T27" s="49">
        <f t="shared" si="82"/>
        <v>0</v>
      </c>
      <c r="U27" s="49">
        <f t="shared" ref="U27" si="85">U28+U29+U30+U31</f>
        <v>0</v>
      </c>
      <c r="V27" s="49">
        <f t="shared" si="82"/>
        <v>0</v>
      </c>
      <c r="W27" s="49">
        <f t="shared" si="82"/>
        <v>0</v>
      </c>
      <c r="X27" s="49">
        <f t="shared" si="82"/>
        <v>0</v>
      </c>
      <c r="Y27" s="49">
        <f t="shared" si="82"/>
        <v>0</v>
      </c>
      <c r="Z27" s="49">
        <f t="shared" si="82"/>
        <v>0</v>
      </c>
      <c r="AA27" s="49">
        <f>AA28+AA29+AA30+AA31</f>
        <v>0</v>
      </c>
      <c r="AB27" s="49">
        <f t="shared" si="82"/>
        <v>13889.084000000001</v>
      </c>
      <c r="AC27" s="49">
        <f t="shared" si="82"/>
        <v>13889.084000000001</v>
      </c>
      <c r="AE27" s="242"/>
      <c r="AF27" s="103"/>
    </row>
    <row r="28" spans="1:32" x14ac:dyDescent="0.2">
      <c r="A28" s="25" t="s">
        <v>70</v>
      </c>
      <c r="B28" s="26" t="s">
        <v>407</v>
      </c>
      <c r="C28" s="48">
        <f>(C12+C13+C14+C16+C19+C20+C23)*5.08%</f>
        <v>0</v>
      </c>
      <c r="D28" s="48">
        <f t="shared" ref="D28:G28" si="86">(D12+D13+D14+D16+D19+D20+D23)*5.08%</f>
        <v>0</v>
      </c>
      <c r="E28" s="48">
        <f t="shared" si="86"/>
        <v>0</v>
      </c>
      <c r="F28" s="48">
        <f t="shared" si="86"/>
        <v>0</v>
      </c>
      <c r="G28" s="48">
        <f t="shared" si="86"/>
        <v>0</v>
      </c>
      <c r="H28" s="48">
        <f t="shared" si="34"/>
        <v>0</v>
      </c>
      <c r="I28" s="48">
        <f t="shared" ref="I28:I31" si="87">J28+N28+S28</f>
        <v>7364.9840000000004</v>
      </c>
      <c r="J28" s="48">
        <f t="shared" ref="J28:J31" si="88">K28+L28+M28</f>
        <v>397.85239199999995</v>
      </c>
      <c r="K28" s="48">
        <f>(K12+K13+K14+K16+K19+K20+K23)*5.08%</f>
        <v>397.85239199999995</v>
      </c>
      <c r="L28" s="48">
        <f t="shared" ref="L28:O28" si="89">(L12+L13+L14+L16+L19+L20+L23)*5.08%</f>
        <v>0</v>
      </c>
      <c r="M28" s="48">
        <f t="shared" si="89"/>
        <v>0</v>
      </c>
      <c r="N28" s="48">
        <f>O28+P28+Q28+R28</f>
        <v>6967.1316080000006</v>
      </c>
      <c r="O28" s="48">
        <f t="shared" si="89"/>
        <v>4580.0172560000001</v>
      </c>
      <c r="P28" s="48">
        <f t="shared" ref="P28:R28" si="90">(P12+P13+P14+P16+P19+P20+P23)*5.08%</f>
        <v>1591.4095679999998</v>
      </c>
      <c r="Q28" s="48">
        <f t="shared" si="90"/>
        <v>596.77858800000001</v>
      </c>
      <c r="R28" s="48">
        <f t="shared" si="90"/>
        <v>198.92619599999998</v>
      </c>
      <c r="S28" s="48">
        <f t="shared" ref="S28" si="91">(S12+S13+S14+S16+S19+S20+S23)*5.08%</f>
        <v>0</v>
      </c>
      <c r="T28" s="48">
        <f t="shared" ref="T28:T31" si="92">U28+V28</f>
        <v>0</v>
      </c>
      <c r="U28" s="48">
        <f>(U12+U13+U14+U16+U19+U20+U23)*5.08%</f>
        <v>0</v>
      </c>
      <c r="V28" s="48">
        <f t="shared" ref="V28:V31" si="93">W28+X28+Y28+Z28+AA28</f>
        <v>0</v>
      </c>
      <c r="W28" s="48">
        <f t="shared" ref="W28:AA28" si="94">(W12+W13+W14+W16+W19+W20+W23)*5.08%</f>
        <v>0</v>
      </c>
      <c r="X28" s="48">
        <f t="shared" si="94"/>
        <v>0</v>
      </c>
      <c r="Y28" s="48">
        <f t="shared" si="94"/>
        <v>0</v>
      </c>
      <c r="Z28" s="48">
        <f t="shared" si="94"/>
        <v>0</v>
      </c>
      <c r="AA28" s="48">
        <f t="shared" si="94"/>
        <v>0</v>
      </c>
      <c r="AB28" s="48">
        <f t="shared" ref="AB28:AB31" si="95">I28+T28</f>
        <v>7364.9840000000004</v>
      </c>
      <c r="AC28" s="48">
        <f t="shared" ref="AC28:AC31" si="96">H28+AB28</f>
        <v>7364.9840000000004</v>
      </c>
      <c r="AE28" s="242"/>
      <c r="AF28" s="103"/>
    </row>
    <row r="29" spans="1:32" x14ac:dyDescent="0.2">
      <c r="A29" s="25" t="s">
        <v>71</v>
      </c>
      <c r="B29" s="26" t="s">
        <v>135</v>
      </c>
      <c r="C29" s="48">
        <f>(C12+C13+C14+C16+C19+C20+C23)*1.5%</f>
        <v>0</v>
      </c>
      <c r="D29" s="48">
        <f t="shared" ref="D29:G29" si="97">(D12+D13+D14+D16+D19+D20+D23)*1.5%</f>
        <v>0</v>
      </c>
      <c r="E29" s="48">
        <f t="shared" si="97"/>
        <v>0</v>
      </c>
      <c r="F29" s="48">
        <f t="shared" si="97"/>
        <v>0</v>
      </c>
      <c r="G29" s="48">
        <f t="shared" si="97"/>
        <v>0</v>
      </c>
      <c r="H29" s="48">
        <f t="shared" si="34"/>
        <v>0</v>
      </c>
      <c r="I29" s="48">
        <f t="shared" si="87"/>
        <v>2174.6999999999998</v>
      </c>
      <c r="J29" s="48">
        <f t="shared" si="88"/>
        <v>117.47609999999999</v>
      </c>
      <c r="K29" s="48">
        <f>(K12+K13+K14+K16+K19+K20+K23)*1.5%</f>
        <v>117.47609999999999</v>
      </c>
      <c r="L29" s="48">
        <f>(L12+L13+L14+L16+L19+L20+L23)*1.5%</f>
        <v>0</v>
      </c>
      <c r="M29" s="48">
        <f>(M12+M13+M14+M16+M19+M20+M23)*1.5%</f>
        <v>0</v>
      </c>
      <c r="N29" s="48">
        <f>O29+P29+Q29+R29</f>
        <v>2057.2239</v>
      </c>
      <c r="O29" s="48">
        <f>(O12+O13+O14+O16+O19+O20+O23)*1.5%</f>
        <v>1352.3673000000001</v>
      </c>
      <c r="P29" s="48">
        <f t="shared" ref="P29:R29" si="98">(P12+P13+P14+P16+P19+P20+P23)*1.5%</f>
        <v>469.90439999999995</v>
      </c>
      <c r="Q29" s="48">
        <f t="shared" si="98"/>
        <v>176.21414999999999</v>
      </c>
      <c r="R29" s="48">
        <f t="shared" si="98"/>
        <v>58.738049999999994</v>
      </c>
      <c r="S29" s="48">
        <f t="shared" ref="S29" si="99">(S12+S13+S14+S16+S19+S20+S23)*1.5%</f>
        <v>0</v>
      </c>
      <c r="T29" s="48">
        <f t="shared" si="92"/>
        <v>0</v>
      </c>
      <c r="U29" s="48">
        <f t="shared" ref="U29" si="100">(U12+U13+U14+U16+U19+U20+U23)*1.5%</f>
        <v>0</v>
      </c>
      <c r="V29" s="48">
        <f t="shared" si="93"/>
        <v>0</v>
      </c>
      <c r="W29" s="48">
        <f t="shared" ref="W29:AA29" si="101">(W12+W13+W14+W16+W19+W20+W23)*1.5%</f>
        <v>0</v>
      </c>
      <c r="X29" s="48">
        <f t="shared" si="101"/>
        <v>0</v>
      </c>
      <c r="Y29" s="48">
        <f t="shared" si="101"/>
        <v>0</v>
      </c>
      <c r="Z29" s="48">
        <f t="shared" si="101"/>
        <v>0</v>
      </c>
      <c r="AA29" s="48">
        <f t="shared" si="101"/>
        <v>0</v>
      </c>
      <c r="AB29" s="48">
        <f t="shared" si="95"/>
        <v>2174.6999999999998</v>
      </c>
      <c r="AC29" s="48">
        <f t="shared" si="96"/>
        <v>2174.6999999999998</v>
      </c>
      <c r="AE29" s="242"/>
      <c r="AF29" s="103"/>
    </row>
    <row r="30" spans="1:32" x14ac:dyDescent="0.2">
      <c r="A30" s="25" t="s">
        <v>72</v>
      </c>
      <c r="B30" s="26" t="s">
        <v>134</v>
      </c>
      <c r="C30" s="48">
        <f>(C12+C13+C14+C16+C19+C20+C23)*3%</f>
        <v>0</v>
      </c>
      <c r="D30" s="48">
        <f t="shared" ref="D30:G30" si="102">(D12+D13+D14+D16+D19+D20+D23)*3%</f>
        <v>0</v>
      </c>
      <c r="E30" s="48">
        <f t="shared" si="102"/>
        <v>0</v>
      </c>
      <c r="F30" s="48">
        <f t="shared" si="102"/>
        <v>0</v>
      </c>
      <c r="G30" s="48">
        <f t="shared" si="102"/>
        <v>0</v>
      </c>
      <c r="H30" s="48">
        <f t="shared" si="34"/>
        <v>0</v>
      </c>
      <c r="I30" s="48">
        <f t="shared" si="87"/>
        <v>4349.3999999999996</v>
      </c>
      <c r="J30" s="48">
        <f t="shared" si="88"/>
        <v>234.95219999999998</v>
      </c>
      <c r="K30" s="48">
        <f>(K12+K13+K14+K16+K19+K20+K23)*3%</f>
        <v>234.95219999999998</v>
      </c>
      <c r="L30" s="48">
        <f>(L12+L13+L14+L16+L19+L20+L23)*3%</f>
        <v>0</v>
      </c>
      <c r="M30" s="48">
        <f>(M12+M13+M14+M16+M19+M20+M23)*3%</f>
        <v>0</v>
      </c>
      <c r="N30" s="48">
        <f>O30+P30+Q30+R30</f>
        <v>4114.4477999999999</v>
      </c>
      <c r="O30" s="48">
        <f>(O12+O13+O14+O16+O19+O20+O23)*3%</f>
        <v>2704.7346000000002</v>
      </c>
      <c r="P30" s="48">
        <f t="shared" ref="P30:R30" si="103">(P12+P13+P14+P16+P19+P20+P23)*3%</f>
        <v>939.80879999999991</v>
      </c>
      <c r="Q30" s="48">
        <f t="shared" si="103"/>
        <v>352.42829999999998</v>
      </c>
      <c r="R30" s="48">
        <f t="shared" si="103"/>
        <v>117.47609999999999</v>
      </c>
      <c r="S30" s="48">
        <f t="shared" ref="S30" si="104">(S12+S13+S14+S16+S19+S20+S23)*3%</f>
        <v>0</v>
      </c>
      <c r="T30" s="48">
        <f t="shared" si="92"/>
        <v>0</v>
      </c>
      <c r="U30" s="48">
        <f t="shared" ref="U30" si="105">(U12+U13+U14+U16+U19+U20+U23)*3%</f>
        <v>0</v>
      </c>
      <c r="V30" s="48">
        <f t="shared" si="93"/>
        <v>0</v>
      </c>
      <c r="W30" s="48">
        <f t="shared" ref="W30:AA30" si="106">(W12+W13+W14+W16+W19+W20+W23)*3%</f>
        <v>0</v>
      </c>
      <c r="X30" s="48">
        <f t="shared" si="106"/>
        <v>0</v>
      </c>
      <c r="Y30" s="48">
        <f t="shared" si="106"/>
        <v>0</v>
      </c>
      <c r="Z30" s="48">
        <f t="shared" si="106"/>
        <v>0</v>
      </c>
      <c r="AA30" s="48">
        <f t="shared" si="106"/>
        <v>0</v>
      </c>
      <c r="AB30" s="48">
        <f t="shared" si="95"/>
        <v>4349.3999999999996</v>
      </c>
      <c r="AC30" s="48">
        <f t="shared" si="96"/>
        <v>4349.3999999999996</v>
      </c>
      <c r="AE30" s="242"/>
      <c r="AF30" s="103"/>
    </row>
    <row r="31" spans="1:32" ht="12.75" hidden="1" customHeight="1" x14ac:dyDescent="0.2">
      <c r="A31" s="25" t="s">
        <v>152</v>
      </c>
      <c r="B31" s="26" t="s">
        <v>153</v>
      </c>
      <c r="C31" s="48"/>
      <c r="D31" s="48"/>
      <c r="E31" s="48"/>
      <c r="F31" s="48"/>
      <c r="G31" s="48"/>
      <c r="H31" s="48">
        <f t="shared" si="34"/>
        <v>0</v>
      </c>
      <c r="I31" s="48">
        <f t="shared" si="87"/>
        <v>0</v>
      </c>
      <c r="J31" s="48">
        <f t="shared" si="88"/>
        <v>0</v>
      </c>
      <c r="K31" s="48"/>
      <c r="L31" s="48"/>
      <c r="M31" s="48"/>
      <c r="N31" s="48">
        <f>O31+P31+Q31+R31</f>
        <v>0</v>
      </c>
      <c r="O31" s="48"/>
      <c r="P31" s="48"/>
      <c r="Q31" s="48"/>
      <c r="R31" s="48"/>
      <c r="S31" s="48"/>
      <c r="T31" s="48">
        <f t="shared" si="92"/>
        <v>0</v>
      </c>
      <c r="U31" s="48"/>
      <c r="V31" s="48">
        <f t="shared" si="93"/>
        <v>0</v>
      </c>
      <c r="W31" s="48"/>
      <c r="X31" s="48"/>
      <c r="Y31" s="48"/>
      <c r="Z31" s="48"/>
      <c r="AA31" s="48"/>
      <c r="AB31" s="48">
        <f t="shared" si="95"/>
        <v>0</v>
      </c>
      <c r="AC31" s="48">
        <f t="shared" si="96"/>
        <v>0</v>
      </c>
      <c r="AE31" s="242"/>
      <c r="AF31" s="103"/>
    </row>
    <row r="32" spans="1:32" ht="12.75" hidden="1" customHeight="1" x14ac:dyDescent="0.2">
      <c r="A32" s="39" t="s">
        <v>154</v>
      </c>
      <c r="B32" s="40" t="s">
        <v>155</v>
      </c>
      <c r="C32" s="47">
        <f t="shared" ref="C32:H32" si="107">C33</f>
        <v>0</v>
      </c>
      <c r="D32" s="47">
        <f t="shared" si="107"/>
        <v>0</v>
      </c>
      <c r="E32" s="47">
        <f t="shared" si="107"/>
        <v>0</v>
      </c>
      <c r="F32" s="47">
        <f t="shared" si="107"/>
        <v>0</v>
      </c>
      <c r="G32" s="47">
        <f t="shared" si="107"/>
        <v>0</v>
      </c>
      <c r="H32" s="47">
        <f t="shared" si="107"/>
        <v>0</v>
      </c>
      <c r="I32" s="47">
        <f t="shared" ref="I32:AC32" si="108">I33</f>
        <v>0</v>
      </c>
      <c r="J32" s="47">
        <f t="shared" si="108"/>
        <v>0</v>
      </c>
      <c r="K32" s="47">
        <f t="shared" si="108"/>
        <v>0</v>
      </c>
      <c r="L32" s="47">
        <f t="shared" si="108"/>
        <v>0</v>
      </c>
      <c r="M32" s="47">
        <f t="shared" si="108"/>
        <v>0</v>
      </c>
      <c r="N32" s="47">
        <f t="shared" si="108"/>
        <v>0</v>
      </c>
      <c r="O32" s="47">
        <f t="shared" si="108"/>
        <v>0</v>
      </c>
      <c r="P32" s="47">
        <f t="shared" si="108"/>
        <v>0</v>
      </c>
      <c r="Q32" s="47">
        <f t="shared" si="108"/>
        <v>0</v>
      </c>
      <c r="R32" s="47">
        <f t="shared" si="108"/>
        <v>0</v>
      </c>
      <c r="S32" s="47">
        <f t="shared" si="108"/>
        <v>0</v>
      </c>
      <c r="T32" s="47">
        <f t="shared" si="108"/>
        <v>0</v>
      </c>
      <c r="U32" s="47">
        <f t="shared" si="108"/>
        <v>0</v>
      </c>
      <c r="V32" s="47">
        <f t="shared" si="108"/>
        <v>0</v>
      </c>
      <c r="W32" s="47">
        <f t="shared" si="108"/>
        <v>0</v>
      </c>
      <c r="X32" s="47">
        <f t="shared" si="108"/>
        <v>0</v>
      </c>
      <c r="Y32" s="47">
        <f t="shared" si="108"/>
        <v>0</v>
      </c>
      <c r="Z32" s="47">
        <f t="shared" si="108"/>
        <v>0</v>
      </c>
      <c r="AA32" s="47">
        <f t="shared" si="108"/>
        <v>0</v>
      </c>
      <c r="AB32" s="47">
        <f t="shared" si="108"/>
        <v>0</v>
      </c>
      <c r="AC32" s="47">
        <f t="shared" si="108"/>
        <v>0</v>
      </c>
      <c r="AE32" s="242"/>
      <c r="AF32" s="103"/>
    </row>
    <row r="33" spans="1:32" ht="12.75" hidden="1" customHeight="1" x14ac:dyDescent="0.2">
      <c r="A33" s="25" t="s">
        <v>156</v>
      </c>
      <c r="B33" s="26" t="s">
        <v>157</v>
      </c>
      <c r="C33" s="48"/>
      <c r="D33" s="48"/>
      <c r="E33" s="48"/>
      <c r="F33" s="48"/>
      <c r="G33" s="48"/>
      <c r="H33" s="48">
        <f>C33+D33+E33+F33+G33</f>
        <v>0</v>
      </c>
      <c r="I33" s="48">
        <f>J33+N33+S33</f>
        <v>0</v>
      </c>
      <c r="J33" s="48">
        <f>K33+L33+M33</f>
        <v>0</v>
      </c>
      <c r="K33" s="48"/>
      <c r="L33" s="48"/>
      <c r="M33" s="48"/>
      <c r="N33" s="48">
        <f>O33+P33+Q33+R33</f>
        <v>0</v>
      </c>
      <c r="O33" s="48"/>
      <c r="P33" s="48"/>
      <c r="Q33" s="48"/>
      <c r="R33" s="48"/>
      <c r="S33" s="48"/>
      <c r="T33" s="48">
        <f>U33+V33</f>
        <v>0</v>
      </c>
      <c r="U33" s="48"/>
      <c r="V33" s="48">
        <f>W33+X33+Y33+Z33+AA33</f>
        <v>0</v>
      </c>
      <c r="W33" s="48"/>
      <c r="X33" s="48"/>
      <c r="Y33" s="48"/>
      <c r="Z33" s="48"/>
      <c r="AA33" s="48"/>
      <c r="AB33" s="48">
        <f>I33+T33</f>
        <v>0</v>
      </c>
      <c r="AC33" s="48">
        <f>H33+AB33</f>
        <v>0</v>
      </c>
      <c r="AE33" s="242"/>
      <c r="AF33" s="103"/>
    </row>
    <row r="34" spans="1:32" x14ac:dyDescent="0.2">
      <c r="A34" s="23">
        <v>1</v>
      </c>
      <c r="B34" s="24" t="s">
        <v>88</v>
      </c>
      <c r="C34" s="47">
        <f>C35+C41+C47+C55+C63+C68+C70+C74+C84+C86</f>
        <v>205576</v>
      </c>
      <c r="D34" s="47">
        <f t="shared" ref="D34:I34" si="109">D35+D41+D47+D55+D63+D68+D70+D74+D84+D86</f>
        <v>1400</v>
      </c>
      <c r="E34" s="47">
        <f t="shared" si="109"/>
        <v>6960</v>
      </c>
      <c r="F34" s="47">
        <f t="shared" si="109"/>
        <v>2200</v>
      </c>
      <c r="G34" s="47">
        <f t="shared" si="109"/>
        <v>4720</v>
      </c>
      <c r="H34" s="47">
        <f t="shared" si="109"/>
        <v>220856</v>
      </c>
      <c r="I34" s="47">
        <f t="shared" si="109"/>
        <v>366607.07</v>
      </c>
      <c r="J34" s="47">
        <f t="shared" ref="J34:AC34" si="110">J35+J41+J47+J55+J63+J68+J70+J74+J84+J86</f>
        <v>121532</v>
      </c>
      <c r="K34" s="47">
        <f t="shared" si="110"/>
        <v>56080</v>
      </c>
      <c r="L34" s="47">
        <f t="shared" si="110"/>
        <v>56100</v>
      </c>
      <c r="M34" s="47">
        <f t="shared" si="110"/>
        <v>0</v>
      </c>
      <c r="N34" s="47">
        <f t="shared" si="110"/>
        <v>219745</v>
      </c>
      <c r="O34" s="47">
        <f t="shared" si="110"/>
        <v>91075</v>
      </c>
      <c r="P34" s="47">
        <f t="shared" ref="P34:R34" si="111">P35+P41+P47+P55+P63+P68+P70+P74+P84+P86</f>
        <v>41970</v>
      </c>
      <c r="Q34" s="47">
        <f t="shared" si="111"/>
        <v>32200</v>
      </c>
      <c r="R34" s="47">
        <f t="shared" si="111"/>
        <v>36050</v>
      </c>
      <c r="S34" s="47">
        <f t="shared" ref="S34" si="112">S35+S41+S47+S55+S63+S68+S70+S74+S84+S86</f>
        <v>25330.07</v>
      </c>
      <c r="T34" s="47">
        <f t="shared" si="110"/>
        <v>56000</v>
      </c>
      <c r="U34" s="47">
        <f t="shared" ref="U34" si="113">U35+U41+U47+U55+U63+U68+U70+U74+U84+U86</f>
        <v>16200</v>
      </c>
      <c r="V34" s="47">
        <f t="shared" si="110"/>
        <v>39800</v>
      </c>
      <c r="W34" s="47">
        <f t="shared" si="110"/>
        <v>0</v>
      </c>
      <c r="X34" s="47">
        <f t="shared" si="110"/>
        <v>200</v>
      </c>
      <c r="Y34" s="47">
        <f t="shared" si="110"/>
        <v>0</v>
      </c>
      <c r="Z34" s="47">
        <f t="shared" si="110"/>
        <v>2300</v>
      </c>
      <c r="AA34" s="47">
        <f t="shared" si="110"/>
        <v>0</v>
      </c>
      <c r="AB34" s="47">
        <f t="shared" si="110"/>
        <v>422607.07</v>
      </c>
      <c r="AC34" s="47">
        <f t="shared" si="110"/>
        <v>643463.07000000007</v>
      </c>
      <c r="AE34" s="242"/>
      <c r="AF34" s="103"/>
    </row>
    <row r="35" spans="1:32" x14ac:dyDescent="0.2">
      <c r="A35" s="23">
        <v>1.01</v>
      </c>
      <c r="B35" s="24" t="s">
        <v>118</v>
      </c>
      <c r="C35" s="47">
        <f>C36+C37+C38+C39+C40</f>
        <v>11500</v>
      </c>
      <c r="D35" s="47">
        <f t="shared" ref="D35:I35" si="114">D36+D37+D38+D39+D40</f>
        <v>0</v>
      </c>
      <c r="E35" s="47">
        <f t="shared" si="114"/>
        <v>0</v>
      </c>
      <c r="F35" s="47">
        <f t="shared" si="114"/>
        <v>0</v>
      </c>
      <c r="G35" s="47">
        <f t="shared" si="114"/>
        <v>0</v>
      </c>
      <c r="H35" s="47">
        <f t="shared" si="114"/>
        <v>11500</v>
      </c>
      <c r="I35" s="47">
        <f t="shared" si="114"/>
        <v>2000</v>
      </c>
      <c r="J35" s="47">
        <f t="shared" ref="J35:AC35" si="115">J36+J37+J38+J39+J40</f>
        <v>0</v>
      </c>
      <c r="K35" s="47">
        <f t="shared" si="115"/>
        <v>0</v>
      </c>
      <c r="L35" s="47">
        <f t="shared" si="115"/>
        <v>0</v>
      </c>
      <c r="M35" s="47">
        <f t="shared" si="115"/>
        <v>0</v>
      </c>
      <c r="N35" s="47">
        <f t="shared" si="115"/>
        <v>2000</v>
      </c>
      <c r="O35" s="47">
        <f t="shared" si="115"/>
        <v>0</v>
      </c>
      <c r="P35" s="47">
        <f t="shared" ref="P35:R35" si="116">P36+P37+P38+P39+P40</f>
        <v>0</v>
      </c>
      <c r="Q35" s="47">
        <f t="shared" si="116"/>
        <v>2000</v>
      </c>
      <c r="R35" s="47">
        <f t="shared" si="116"/>
        <v>0</v>
      </c>
      <c r="S35" s="47">
        <f t="shared" ref="S35" si="117">S36+S37+S38+S39+S40</f>
        <v>0</v>
      </c>
      <c r="T35" s="47">
        <f t="shared" si="115"/>
        <v>0</v>
      </c>
      <c r="U35" s="47">
        <f t="shared" ref="U35" si="118">U36+U37+U38+U39+U40</f>
        <v>0</v>
      </c>
      <c r="V35" s="47">
        <f t="shared" si="115"/>
        <v>0</v>
      </c>
      <c r="W35" s="47">
        <f t="shared" si="115"/>
        <v>0</v>
      </c>
      <c r="X35" s="47">
        <f t="shared" si="115"/>
        <v>0</v>
      </c>
      <c r="Y35" s="47">
        <f t="shared" si="115"/>
        <v>0</v>
      </c>
      <c r="Z35" s="47">
        <f t="shared" si="115"/>
        <v>0</v>
      </c>
      <c r="AA35" s="47">
        <f>AA36+AA37+AA38+AA39+AA40</f>
        <v>0</v>
      </c>
      <c r="AB35" s="47">
        <f t="shared" si="115"/>
        <v>2000</v>
      </c>
      <c r="AC35" s="47">
        <f t="shared" si="115"/>
        <v>13500</v>
      </c>
      <c r="AE35" s="242"/>
      <c r="AF35" s="103"/>
    </row>
    <row r="36" spans="1:32" x14ac:dyDescent="0.2">
      <c r="A36" s="25" t="s">
        <v>111</v>
      </c>
      <c r="B36" s="26" t="s">
        <v>119</v>
      </c>
      <c r="C36" s="48">
        <v>11500</v>
      </c>
      <c r="D36" s="48"/>
      <c r="E36" s="48"/>
      <c r="F36" s="48"/>
      <c r="G36" s="48"/>
      <c r="H36" s="48">
        <f t="shared" ref="H36:H40" si="119">C36+D36+E36+F36+G36</f>
        <v>11500</v>
      </c>
      <c r="I36" s="48">
        <f t="shared" ref="I36:I40" si="120">J36+N36+S36</f>
        <v>0</v>
      </c>
      <c r="J36" s="48">
        <f t="shared" ref="J36:J40" si="121">K36+L36+M36</f>
        <v>0</v>
      </c>
      <c r="K36" s="48"/>
      <c r="L36" s="48"/>
      <c r="M36" s="48"/>
      <c r="N36" s="48">
        <f t="shared" ref="N36:N40" si="122">O36+P36+Q36+R36</f>
        <v>0</v>
      </c>
      <c r="O36" s="48"/>
      <c r="P36" s="48"/>
      <c r="Q36" s="48"/>
      <c r="R36" s="48"/>
      <c r="S36" s="48"/>
      <c r="T36" s="48">
        <f t="shared" ref="T36:T40" si="123">U36+V36</f>
        <v>0</v>
      </c>
      <c r="U36" s="48"/>
      <c r="V36" s="48">
        <f t="shared" ref="V36:V40" si="124">W36+X36+Y36+Z36+AA36</f>
        <v>0</v>
      </c>
      <c r="W36" s="48"/>
      <c r="X36" s="48"/>
      <c r="Y36" s="48"/>
      <c r="Z36" s="48"/>
      <c r="AA36" s="48"/>
      <c r="AB36" s="48">
        <f t="shared" ref="AB36:AB40" si="125">I36+T36</f>
        <v>0</v>
      </c>
      <c r="AC36" s="48">
        <f t="shared" ref="AC36:AC40" si="126">H36+AB36</f>
        <v>11500</v>
      </c>
      <c r="AE36" s="242"/>
      <c r="AF36" s="103"/>
    </row>
    <row r="37" spans="1:32" x14ac:dyDescent="0.2">
      <c r="A37" s="25" t="s">
        <v>73</v>
      </c>
      <c r="B37" s="26" t="s">
        <v>120</v>
      </c>
      <c r="C37" s="48"/>
      <c r="D37" s="48"/>
      <c r="E37" s="48"/>
      <c r="F37" s="48"/>
      <c r="G37" s="48"/>
      <c r="H37" s="48">
        <f t="shared" si="119"/>
        <v>0</v>
      </c>
      <c r="I37" s="48">
        <f t="shared" si="120"/>
        <v>2000</v>
      </c>
      <c r="J37" s="48">
        <f t="shared" si="121"/>
        <v>0</v>
      </c>
      <c r="K37" s="48"/>
      <c r="L37" s="48"/>
      <c r="M37" s="48"/>
      <c r="N37" s="48">
        <f t="shared" si="122"/>
        <v>2000</v>
      </c>
      <c r="O37" s="48"/>
      <c r="P37" s="48"/>
      <c r="Q37" s="48">
        <v>2000</v>
      </c>
      <c r="R37" s="48"/>
      <c r="S37" s="48"/>
      <c r="T37" s="48">
        <f t="shared" si="123"/>
        <v>0</v>
      </c>
      <c r="U37" s="48"/>
      <c r="V37" s="48">
        <f t="shared" si="124"/>
        <v>0</v>
      </c>
      <c r="W37" s="48"/>
      <c r="X37" s="48"/>
      <c r="Y37" s="48"/>
      <c r="Z37" s="48"/>
      <c r="AA37" s="48"/>
      <c r="AB37" s="48">
        <f t="shared" si="125"/>
        <v>2000</v>
      </c>
      <c r="AC37" s="48">
        <f t="shared" si="126"/>
        <v>2000</v>
      </c>
      <c r="AE37" s="242"/>
      <c r="AF37" s="103"/>
    </row>
    <row r="38" spans="1:32" s="32" customFormat="1" hidden="1" x14ac:dyDescent="0.2">
      <c r="A38" s="27" t="s">
        <v>26</v>
      </c>
      <c r="B38" s="41" t="s">
        <v>27</v>
      </c>
      <c r="C38" s="48"/>
      <c r="D38" s="48"/>
      <c r="E38" s="48"/>
      <c r="F38" s="48"/>
      <c r="G38" s="48"/>
      <c r="H38" s="48">
        <f t="shared" si="119"/>
        <v>0</v>
      </c>
      <c r="I38" s="48">
        <f t="shared" si="120"/>
        <v>0</v>
      </c>
      <c r="J38" s="48">
        <f t="shared" si="121"/>
        <v>0</v>
      </c>
      <c r="K38" s="48"/>
      <c r="L38" s="48"/>
      <c r="M38" s="48"/>
      <c r="N38" s="48">
        <f t="shared" si="122"/>
        <v>0</v>
      </c>
      <c r="O38" s="48"/>
      <c r="P38" s="48"/>
      <c r="Q38" s="48"/>
      <c r="R38" s="48"/>
      <c r="S38" s="48"/>
      <c r="T38" s="48">
        <f t="shared" si="123"/>
        <v>0</v>
      </c>
      <c r="U38" s="48"/>
      <c r="V38" s="48">
        <f t="shared" si="124"/>
        <v>0</v>
      </c>
      <c r="W38" s="48"/>
      <c r="X38" s="48"/>
      <c r="Y38" s="48"/>
      <c r="Z38" s="48"/>
      <c r="AA38" s="48"/>
      <c r="AB38" s="48">
        <f t="shared" si="125"/>
        <v>0</v>
      </c>
      <c r="AC38" s="48">
        <f t="shared" si="126"/>
        <v>0</v>
      </c>
      <c r="AE38" s="243"/>
      <c r="AF38" s="103"/>
    </row>
    <row r="39" spans="1:32" hidden="1" x14ac:dyDescent="0.2">
      <c r="A39" s="25" t="s">
        <v>158</v>
      </c>
      <c r="B39" s="26" t="s">
        <v>498</v>
      </c>
      <c r="C39" s="48"/>
      <c r="D39" s="48"/>
      <c r="E39" s="48"/>
      <c r="F39" s="48"/>
      <c r="G39" s="48"/>
      <c r="H39" s="48">
        <f t="shared" si="119"/>
        <v>0</v>
      </c>
      <c r="I39" s="48">
        <f t="shared" si="120"/>
        <v>0</v>
      </c>
      <c r="J39" s="48">
        <f t="shared" si="121"/>
        <v>0</v>
      </c>
      <c r="K39" s="48"/>
      <c r="L39" s="48"/>
      <c r="M39" s="48"/>
      <c r="N39" s="48">
        <f t="shared" si="122"/>
        <v>0</v>
      </c>
      <c r="O39" s="48"/>
      <c r="P39" s="48"/>
      <c r="Q39" s="48"/>
      <c r="R39" s="48"/>
      <c r="S39" s="48"/>
      <c r="T39" s="48">
        <f t="shared" si="123"/>
        <v>0</v>
      </c>
      <c r="U39" s="48"/>
      <c r="V39" s="48">
        <f t="shared" si="124"/>
        <v>0</v>
      </c>
      <c r="W39" s="48"/>
      <c r="X39" s="48"/>
      <c r="Y39" s="48"/>
      <c r="Z39" s="48"/>
      <c r="AA39" s="48"/>
      <c r="AB39" s="48">
        <f t="shared" si="125"/>
        <v>0</v>
      </c>
      <c r="AC39" s="48">
        <f t="shared" si="126"/>
        <v>0</v>
      </c>
      <c r="AE39" s="242"/>
      <c r="AF39" s="103"/>
    </row>
    <row r="40" spans="1:32" hidden="1" x14ac:dyDescent="0.2">
      <c r="A40" s="25" t="s">
        <v>159</v>
      </c>
      <c r="B40" s="26" t="s">
        <v>160</v>
      </c>
      <c r="C40" s="48"/>
      <c r="D40" s="48"/>
      <c r="E40" s="48"/>
      <c r="F40" s="48"/>
      <c r="G40" s="48"/>
      <c r="H40" s="48">
        <f t="shared" si="119"/>
        <v>0</v>
      </c>
      <c r="I40" s="48">
        <f t="shared" si="120"/>
        <v>0</v>
      </c>
      <c r="J40" s="48">
        <f t="shared" si="121"/>
        <v>0</v>
      </c>
      <c r="K40" s="48"/>
      <c r="L40" s="48"/>
      <c r="M40" s="48"/>
      <c r="N40" s="48">
        <f t="shared" si="122"/>
        <v>0</v>
      </c>
      <c r="O40" s="48"/>
      <c r="P40" s="48"/>
      <c r="Q40" s="48"/>
      <c r="R40" s="48"/>
      <c r="S40" s="48"/>
      <c r="T40" s="48">
        <f t="shared" si="123"/>
        <v>0</v>
      </c>
      <c r="U40" s="48"/>
      <c r="V40" s="48">
        <f t="shared" si="124"/>
        <v>0</v>
      </c>
      <c r="W40" s="48"/>
      <c r="X40" s="48"/>
      <c r="Y40" s="48"/>
      <c r="Z40" s="48"/>
      <c r="AA40" s="48"/>
      <c r="AB40" s="48">
        <f t="shared" si="125"/>
        <v>0</v>
      </c>
      <c r="AC40" s="48">
        <f t="shared" si="126"/>
        <v>0</v>
      </c>
      <c r="AE40" s="242"/>
      <c r="AF40" s="103"/>
    </row>
    <row r="41" spans="1:32" x14ac:dyDescent="0.2">
      <c r="A41" s="23">
        <v>1.02</v>
      </c>
      <c r="B41" s="24" t="s">
        <v>12</v>
      </c>
      <c r="C41" s="47">
        <f>C42+C43+C44+C45+C46</f>
        <v>41700</v>
      </c>
      <c r="D41" s="47">
        <f t="shared" ref="D41:I41" si="127">D42+D43+D44+D45+D46</f>
        <v>600</v>
      </c>
      <c r="E41" s="47">
        <f t="shared" si="127"/>
        <v>0</v>
      </c>
      <c r="F41" s="47">
        <f t="shared" si="127"/>
        <v>0</v>
      </c>
      <c r="G41" s="47">
        <f t="shared" si="127"/>
        <v>0</v>
      </c>
      <c r="H41" s="47">
        <f t="shared" si="127"/>
        <v>42300</v>
      </c>
      <c r="I41" s="47">
        <f t="shared" si="127"/>
        <v>6870</v>
      </c>
      <c r="J41" s="47">
        <f t="shared" ref="J41:AC41" si="128">J42+J43+J44+J45+J46</f>
        <v>0</v>
      </c>
      <c r="K41" s="47">
        <f t="shared" si="128"/>
        <v>0</v>
      </c>
      <c r="L41" s="47">
        <f t="shared" si="128"/>
        <v>0</v>
      </c>
      <c r="M41" s="47">
        <f t="shared" si="128"/>
        <v>0</v>
      </c>
      <c r="N41" s="47">
        <f t="shared" si="128"/>
        <v>6870</v>
      </c>
      <c r="O41" s="47">
        <f t="shared" si="128"/>
        <v>0</v>
      </c>
      <c r="P41" s="47">
        <f t="shared" ref="P41:R41" si="129">P42+P43+P44+P45+P46</f>
        <v>5870</v>
      </c>
      <c r="Q41" s="47">
        <f t="shared" si="129"/>
        <v>1000</v>
      </c>
      <c r="R41" s="47">
        <f t="shared" si="129"/>
        <v>0</v>
      </c>
      <c r="S41" s="47">
        <f t="shared" ref="S41" si="130">S42+S43+S44+S45+S46</f>
        <v>0</v>
      </c>
      <c r="T41" s="47">
        <f t="shared" si="128"/>
        <v>0</v>
      </c>
      <c r="U41" s="47">
        <f t="shared" ref="U41" si="131">U42+U43+U44+U45+U46</f>
        <v>0</v>
      </c>
      <c r="V41" s="47">
        <f t="shared" si="128"/>
        <v>0</v>
      </c>
      <c r="W41" s="47">
        <f t="shared" si="128"/>
        <v>0</v>
      </c>
      <c r="X41" s="47">
        <f t="shared" si="128"/>
        <v>0</v>
      </c>
      <c r="Y41" s="47">
        <f t="shared" si="128"/>
        <v>0</v>
      </c>
      <c r="Z41" s="47">
        <f t="shared" si="128"/>
        <v>0</v>
      </c>
      <c r="AA41" s="47">
        <f>AA42+AA43+AA44+AA45+AA46</f>
        <v>0</v>
      </c>
      <c r="AB41" s="47">
        <f t="shared" si="128"/>
        <v>6870</v>
      </c>
      <c r="AC41" s="47">
        <f t="shared" si="128"/>
        <v>49170</v>
      </c>
      <c r="AE41" s="242"/>
      <c r="AF41" s="103"/>
    </row>
    <row r="42" spans="1:32" x14ac:dyDescent="0.2">
      <c r="A42" s="27" t="s">
        <v>161</v>
      </c>
      <c r="B42" s="26" t="s">
        <v>162</v>
      </c>
      <c r="C42" s="48"/>
      <c r="D42" s="48"/>
      <c r="E42" s="48"/>
      <c r="F42" s="48"/>
      <c r="G42" s="48"/>
      <c r="H42" s="48">
        <f t="shared" ref="H42:H46" si="132">C42+D42+E42+F42+G42</f>
        <v>0</v>
      </c>
      <c r="I42" s="48">
        <f t="shared" ref="I42:I46" si="133">J42+N42+S42</f>
        <v>6750</v>
      </c>
      <c r="J42" s="48">
        <f t="shared" ref="J42:J46" si="134">K42+L42+M42</f>
        <v>0</v>
      </c>
      <c r="K42" s="48"/>
      <c r="L42" s="48"/>
      <c r="M42" s="48"/>
      <c r="N42" s="48">
        <f t="shared" ref="N42:N46" si="135">O42+P42+Q42+R42</f>
        <v>6750</v>
      </c>
      <c r="O42" s="48"/>
      <c r="P42" s="48">
        <v>5750</v>
      </c>
      <c r="Q42" s="48">
        <v>1000</v>
      </c>
      <c r="R42" s="48"/>
      <c r="S42" s="48"/>
      <c r="T42" s="48">
        <f t="shared" ref="T42:T46" si="136">U42+V42</f>
        <v>0</v>
      </c>
      <c r="U42" s="48"/>
      <c r="V42" s="48">
        <f t="shared" ref="V42:V46" si="137">W42+X42+Y42+Z42+AA42</f>
        <v>0</v>
      </c>
      <c r="W42" s="48"/>
      <c r="X42" s="48"/>
      <c r="Y42" s="48"/>
      <c r="Z42" s="48"/>
      <c r="AA42" s="48"/>
      <c r="AB42" s="48">
        <f t="shared" ref="AB42:AB46" si="138">I42+T42</f>
        <v>6750</v>
      </c>
      <c r="AC42" s="48">
        <f t="shared" ref="AC42:AC46" si="139">H42+AB42</f>
        <v>6750</v>
      </c>
      <c r="AE42" s="242"/>
      <c r="AF42" s="103"/>
    </row>
    <row r="43" spans="1:32" x14ac:dyDescent="0.2">
      <c r="A43" s="27" t="s">
        <v>163</v>
      </c>
      <c r="B43" s="26" t="s">
        <v>164</v>
      </c>
      <c r="C43" s="48">
        <v>16750</v>
      </c>
      <c r="D43" s="48"/>
      <c r="E43" s="48"/>
      <c r="F43" s="48"/>
      <c r="G43" s="48"/>
      <c r="H43" s="48">
        <f t="shared" si="132"/>
        <v>16750</v>
      </c>
      <c r="I43" s="48">
        <f t="shared" si="133"/>
        <v>0</v>
      </c>
      <c r="J43" s="48">
        <f t="shared" si="134"/>
        <v>0</v>
      </c>
      <c r="K43" s="48"/>
      <c r="L43" s="48"/>
      <c r="M43" s="48"/>
      <c r="N43" s="48">
        <f t="shared" si="135"/>
        <v>0</v>
      </c>
      <c r="O43" s="48"/>
      <c r="P43" s="48"/>
      <c r="Q43" s="48"/>
      <c r="R43" s="48"/>
      <c r="S43" s="48"/>
      <c r="T43" s="48">
        <f t="shared" si="136"/>
        <v>0</v>
      </c>
      <c r="U43" s="48"/>
      <c r="V43" s="48">
        <f t="shared" si="137"/>
        <v>0</v>
      </c>
      <c r="W43" s="48"/>
      <c r="X43" s="48"/>
      <c r="Y43" s="48"/>
      <c r="Z43" s="48"/>
      <c r="AA43" s="48"/>
      <c r="AB43" s="48">
        <f t="shared" si="138"/>
        <v>0</v>
      </c>
      <c r="AC43" s="48">
        <f t="shared" si="139"/>
        <v>16750</v>
      </c>
      <c r="AE43" s="242"/>
      <c r="AF43" s="103"/>
    </row>
    <row r="44" spans="1:32" x14ac:dyDescent="0.2">
      <c r="A44" s="27" t="s">
        <v>165</v>
      </c>
      <c r="B44" s="26" t="s">
        <v>166</v>
      </c>
      <c r="C44" s="48">
        <v>50</v>
      </c>
      <c r="D44" s="48"/>
      <c r="E44" s="48"/>
      <c r="F44" s="48"/>
      <c r="G44" s="48"/>
      <c r="H44" s="48">
        <f t="shared" si="132"/>
        <v>50</v>
      </c>
      <c r="I44" s="48">
        <f t="shared" si="133"/>
        <v>0</v>
      </c>
      <c r="J44" s="48">
        <f t="shared" si="134"/>
        <v>0</v>
      </c>
      <c r="K44" s="48"/>
      <c r="L44" s="48"/>
      <c r="M44" s="48"/>
      <c r="N44" s="48">
        <f t="shared" si="135"/>
        <v>0</v>
      </c>
      <c r="O44" s="48"/>
      <c r="P44" s="48"/>
      <c r="Q44" s="48"/>
      <c r="R44" s="48"/>
      <c r="S44" s="48"/>
      <c r="T44" s="48">
        <f t="shared" si="136"/>
        <v>0</v>
      </c>
      <c r="U44" s="48"/>
      <c r="V44" s="48">
        <f t="shared" si="137"/>
        <v>0</v>
      </c>
      <c r="W44" s="48"/>
      <c r="X44" s="48"/>
      <c r="Y44" s="48"/>
      <c r="Z44" s="48"/>
      <c r="AA44" s="48"/>
      <c r="AB44" s="48">
        <f t="shared" si="138"/>
        <v>0</v>
      </c>
      <c r="AC44" s="48">
        <f t="shared" si="139"/>
        <v>50</v>
      </c>
      <c r="AE44" s="242"/>
      <c r="AF44" s="103"/>
    </row>
    <row r="45" spans="1:32" x14ac:dyDescent="0.2">
      <c r="A45" s="27" t="s">
        <v>167</v>
      </c>
      <c r="B45" s="26" t="s">
        <v>168</v>
      </c>
      <c r="C45" s="48">
        <f>25500-D45-E45-F45-G45</f>
        <v>24900</v>
      </c>
      <c r="D45" s="48">
        <v>600</v>
      </c>
      <c r="E45" s="48"/>
      <c r="F45" s="48"/>
      <c r="G45" s="48"/>
      <c r="H45" s="48">
        <f t="shared" si="132"/>
        <v>25500</v>
      </c>
      <c r="I45" s="48">
        <f t="shared" si="133"/>
        <v>0</v>
      </c>
      <c r="J45" s="48">
        <f t="shared" si="134"/>
        <v>0</v>
      </c>
      <c r="K45" s="48"/>
      <c r="L45" s="48"/>
      <c r="M45" s="48"/>
      <c r="N45" s="48">
        <f t="shared" si="135"/>
        <v>0</v>
      </c>
      <c r="O45" s="48"/>
      <c r="P45" s="48"/>
      <c r="Q45" s="48"/>
      <c r="R45" s="48"/>
      <c r="S45" s="48"/>
      <c r="T45" s="48">
        <f t="shared" si="136"/>
        <v>0</v>
      </c>
      <c r="U45" s="48"/>
      <c r="V45" s="48">
        <f t="shared" si="137"/>
        <v>0</v>
      </c>
      <c r="W45" s="48"/>
      <c r="X45" s="48"/>
      <c r="Y45" s="48"/>
      <c r="Z45" s="48"/>
      <c r="AA45" s="48"/>
      <c r="AB45" s="48">
        <f t="shared" si="138"/>
        <v>0</v>
      </c>
      <c r="AC45" s="48">
        <f t="shared" si="139"/>
        <v>25500</v>
      </c>
      <c r="AE45" s="242"/>
      <c r="AF45" s="103"/>
    </row>
    <row r="46" spans="1:32" x14ac:dyDescent="0.2">
      <c r="A46" s="27" t="s">
        <v>169</v>
      </c>
      <c r="B46" s="26" t="s">
        <v>170</v>
      </c>
      <c r="C46" s="48"/>
      <c r="D46" s="48"/>
      <c r="E46" s="48"/>
      <c r="F46" s="48"/>
      <c r="G46" s="48"/>
      <c r="H46" s="48">
        <f t="shared" si="132"/>
        <v>0</v>
      </c>
      <c r="I46" s="48">
        <f t="shared" si="133"/>
        <v>120</v>
      </c>
      <c r="J46" s="48">
        <f t="shared" si="134"/>
        <v>0</v>
      </c>
      <c r="K46" s="48"/>
      <c r="L46" s="48"/>
      <c r="M46" s="48"/>
      <c r="N46" s="48">
        <f t="shared" si="135"/>
        <v>120</v>
      </c>
      <c r="O46" s="48"/>
      <c r="P46" s="48">
        <v>120</v>
      </c>
      <c r="Q46" s="48"/>
      <c r="R46" s="48"/>
      <c r="S46" s="48"/>
      <c r="T46" s="48">
        <f t="shared" si="136"/>
        <v>0</v>
      </c>
      <c r="U46" s="48"/>
      <c r="V46" s="48">
        <f t="shared" si="137"/>
        <v>0</v>
      </c>
      <c r="W46" s="48"/>
      <c r="X46" s="48"/>
      <c r="Y46" s="48"/>
      <c r="Z46" s="48"/>
      <c r="AA46" s="48"/>
      <c r="AB46" s="48">
        <f t="shared" si="138"/>
        <v>120</v>
      </c>
      <c r="AC46" s="48">
        <f t="shared" si="139"/>
        <v>120</v>
      </c>
      <c r="AE46" s="242"/>
      <c r="AF46" s="103"/>
    </row>
    <row r="47" spans="1:32" x14ac:dyDescent="0.2">
      <c r="A47" s="28">
        <v>1.03</v>
      </c>
      <c r="B47" s="24" t="s">
        <v>74</v>
      </c>
      <c r="C47" s="47">
        <f>C48+C49+C50+C51+C52+C53+C54</f>
        <v>0</v>
      </c>
      <c r="D47" s="47">
        <f t="shared" ref="D47:I47" si="140">D48+D49+D50+D51+D52+D53+D54</f>
        <v>0</v>
      </c>
      <c r="E47" s="47">
        <f t="shared" si="140"/>
        <v>700</v>
      </c>
      <c r="F47" s="47">
        <f t="shared" si="140"/>
        <v>0</v>
      </c>
      <c r="G47" s="47">
        <f t="shared" si="140"/>
        <v>2000</v>
      </c>
      <c r="H47" s="47">
        <f t="shared" si="140"/>
        <v>2700</v>
      </c>
      <c r="I47" s="47">
        <f t="shared" si="140"/>
        <v>210</v>
      </c>
      <c r="J47" s="47">
        <f t="shared" ref="J47:AC47" si="141">J48+J49+J50+J51+J52+J53+J54</f>
        <v>60</v>
      </c>
      <c r="K47" s="47">
        <f t="shared" si="141"/>
        <v>60</v>
      </c>
      <c r="L47" s="47">
        <f t="shared" si="141"/>
        <v>0</v>
      </c>
      <c r="M47" s="47">
        <f t="shared" si="141"/>
        <v>0</v>
      </c>
      <c r="N47" s="47">
        <f t="shared" si="141"/>
        <v>150</v>
      </c>
      <c r="O47" s="47">
        <f t="shared" si="141"/>
        <v>0</v>
      </c>
      <c r="P47" s="47">
        <f t="shared" ref="P47:R47" si="142">P48+P49+P50+P51+P52+P53+P54</f>
        <v>0</v>
      </c>
      <c r="Q47" s="47">
        <f t="shared" si="142"/>
        <v>150</v>
      </c>
      <c r="R47" s="47">
        <f t="shared" si="142"/>
        <v>0</v>
      </c>
      <c r="S47" s="47">
        <f t="shared" ref="S47" si="143">S48+S49+S50+S51+S52+S53+S54</f>
        <v>0</v>
      </c>
      <c r="T47" s="47">
        <f t="shared" si="141"/>
        <v>4200</v>
      </c>
      <c r="U47" s="47">
        <f t="shared" ref="U47" si="144">U48+U49+U50+U51+U52+U53+U54</f>
        <v>4000</v>
      </c>
      <c r="V47" s="47">
        <f t="shared" si="141"/>
        <v>200</v>
      </c>
      <c r="W47" s="47">
        <f t="shared" si="141"/>
        <v>0</v>
      </c>
      <c r="X47" s="47">
        <f t="shared" si="141"/>
        <v>200</v>
      </c>
      <c r="Y47" s="47">
        <f t="shared" si="141"/>
        <v>0</v>
      </c>
      <c r="Z47" s="47">
        <f t="shared" si="141"/>
        <v>0</v>
      </c>
      <c r="AA47" s="47">
        <f>AA48+AA49+AA50+AA51+AA52+AA53+AA54</f>
        <v>0</v>
      </c>
      <c r="AB47" s="47">
        <f t="shared" si="141"/>
        <v>4410</v>
      </c>
      <c r="AC47" s="47">
        <f t="shared" si="141"/>
        <v>7110</v>
      </c>
      <c r="AE47" s="242"/>
      <c r="AF47" s="103"/>
    </row>
    <row r="48" spans="1:32" x14ac:dyDescent="0.2">
      <c r="A48" s="27" t="s">
        <v>171</v>
      </c>
      <c r="B48" s="26" t="s">
        <v>172</v>
      </c>
      <c r="C48" s="48"/>
      <c r="D48" s="48"/>
      <c r="E48" s="48"/>
      <c r="F48" s="48"/>
      <c r="G48" s="48">
        <v>1500</v>
      </c>
      <c r="H48" s="48">
        <f t="shared" ref="H48:H53" si="145">C48+D48+E48+F48+G48</f>
        <v>1500</v>
      </c>
      <c r="I48" s="48">
        <f t="shared" ref="I48:I54" si="146">J48+N48+S48</f>
        <v>0</v>
      </c>
      <c r="J48" s="48">
        <f t="shared" ref="J48:J54" si="147">K48+L48+M48</f>
        <v>0</v>
      </c>
      <c r="K48" s="48"/>
      <c r="L48" s="48"/>
      <c r="M48" s="48"/>
      <c r="N48" s="48">
        <f t="shared" ref="N48:N54" si="148">O48+P48+Q48+R48</f>
        <v>0</v>
      </c>
      <c r="O48" s="48"/>
      <c r="P48" s="48"/>
      <c r="Q48" s="48"/>
      <c r="R48" s="48"/>
      <c r="S48" s="48"/>
      <c r="T48" s="48">
        <f t="shared" ref="T48:T54" si="149">U48+V48</f>
        <v>0</v>
      </c>
      <c r="U48" s="48"/>
      <c r="V48" s="48">
        <f t="shared" ref="V48:V54" si="150">W48+X48+Y48+Z48+AA48</f>
        <v>0</v>
      </c>
      <c r="W48" s="48"/>
      <c r="X48" s="48"/>
      <c r="Y48" s="48"/>
      <c r="Z48" s="48"/>
      <c r="AA48" s="48"/>
      <c r="AB48" s="48">
        <f t="shared" ref="AB48:AB54" si="151">I48+T48</f>
        <v>0</v>
      </c>
      <c r="AC48" s="48">
        <f t="shared" ref="AC48:AC54" si="152">H48+AB48</f>
        <v>1500</v>
      </c>
      <c r="AE48" s="242"/>
      <c r="AF48" s="103"/>
    </row>
    <row r="49" spans="1:32" x14ac:dyDescent="0.2">
      <c r="A49" s="27" t="s">
        <v>173</v>
      </c>
      <c r="B49" s="26" t="s">
        <v>174</v>
      </c>
      <c r="C49" s="48"/>
      <c r="D49" s="48"/>
      <c r="E49" s="48">
        <v>300</v>
      </c>
      <c r="F49" s="48"/>
      <c r="G49" s="48"/>
      <c r="H49" s="48">
        <f t="shared" si="145"/>
        <v>300</v>
      </c>
      <c r="I49" s="48">
        <f t="shared" si="146"/>
        <v>60</v>
      </c>
      <c r="J49" s="48">
        <f t="shared" si="147"/>
        <v>60</v>
      </c>
      <c r="K49" s="48">
        <v>60</v>
      </c>
      <c r="L49" s="48"/>
      <c r="M49" s="48"/>
      <c r="N49" s="48">
        <f t="shared" si="148"/>
        <v>0</v>
      </c>
      <c r="O49" s="48"/>
      <c r="P49" s="48"/>
      <c r="Q49" s="48"/>
      <c r="R49" s="48"/>
      <c r="S49" s="48"/>
      <c r="T49" s="48">
        <f t="shared" si="149"/>
        <v>0</v>
      </c>
      <c r="U49" s="48"/>
      <c r="V49" s="48">
        <f t="shared" si="150"/>
        <v>0</v>
      </c>
      <c r="W49" s="48"/>
      <c r="X49" s="48"/>
      <c r="Y49" s="48"/>
      <c r="Z49" s="48"/>
      <c r="AA49" s="48"/>
      <c r="AB49" s="48">
        <f t="shared" si="151"/>
        <v>60</v>
      </c>
      <c r="AC49" s="48">
        <f t="shared" si="152"/>
        <v>360</v>
      </c>
      <c r="AE49" s="242"/>
      <c r="AF49" s="103"/>
    </row>
    <row r="50" spans="1:32" x14ac:dyDescent="0.2">
      <c r="A50" s="27" t="s">
        <v>75</v>
      </c>
      <c r="B50" s="26" t="s">
        <v>89</v>
      </c>
      <c r="C50" s="48"/>
      <c r="D50" s="48"/>
      <c r="E50" s="48">
        <v>400</v>
      </c>
      <c r="F50" s="48"/>
      <c r="G50" s="48"/>
      <c r="H50" s="48">
        <f t="shared" si="145"/>
        <v>400</v>
      </c>
      <c r="I50" s="48">
        <f t="shared" si="146"/>
        <v>100</v>
      </c>
      <c r="J50" s="48">
        <f t="shared" si="147"/>
        <v>0</v>
      </c>
      <c r="K50" s="48"/>
      <c r="L50" s="48"/>
      <c r="M50" s="48"/>
      <c r="N50" s="48">
        <f t="shared" si="148"/>
        <v>100</v>
      </c>
      <c r="O50" s="48"/>
      <c r="P50" s="48"/>
      <c r="Q50" s="48">
        <v>100</v>
      </c>
      <c r="R50" s="48"/>
      <c r="S50" s="48"/>
      <c r="T50" s="48">
        <f t="shared" si="149"/>
        <v>4000</v>
      </c>
      <c r="U50" s="48">
        <v>4000</v>
      </c>
      <c r="V50" s="48">
        <f t="shared" si="150"/>
        <v>0</v>
      </c>
      <c r="W50" s="48"/>
      <c r="X50" s="48"/>
      <c r="Y50" s="48"/>
      <c r="Z50" s="48"/>
      <c r="AA50" s="48"/>
      <c r="AB50" s="48">
        <f t="shared" si="151"/>
        <v>4100</v>
      </c>
      <c r="AC50" s="48">
        <f t="shared" si="152"/>
        <v>4500</v>
      </c>
      <c r="AE50" s="242"/>
      <c r="AF50" s="103"/>
    </row>
    <row r="51" spans="1:32" hidden="1" x14ac:dyDescent="0.2">
      <c r="A51" s="27" t="s">
        <v>175</v>
      </c>
      <c r="B51" s="26" t="s">
        <v>176</v>
      </c>
      <c r="C51" s="48"/>
      <c r="D51" s="48"/>
      <c r="E51" s="48"/>
      <c r="F51" s="48"/>
      <c r="G51" s="48"/>
      <c r="H51" s="48">
        <f t="shared" si="145"/>
        <v>0</v>
      </c>
      <c r="I51" s="48">
        <f t="shared" si="146"/>
        <v>0</v>
      </c>
      <c r="J51" s="48">
        <f t="shared" si="147"/>
        <v>0</v>
      </c>
      <c r="K51" s="48"/>
      <c r="L51" s="48"/>
      <c r="M51" s="48"/>
      <c r="N51" s="48">
        <f t="shared" si="148"/>
        <v>0</v>
      </c>
      <c r="O51" s="48"/>
      <c r="P51" s="48"/>
      <c r="Q51" s="48"/>
      <c r="R51" s="48"/>
      <c r="S51" s="48"/>
      <c r="T51" s="48">
        <f t="shared" si="149"/>
        <v>0</v>
      </c>
      <c r="U51" s="48"/>
      <c r="V51" s="48">
        <f t="shared" si="150"/>
        <v>0</v>
      </c>
      <c r="W51" s="48"/>
      <c r="X51" s="48"/>
      <c r="Y51" s="48"/>
      <c r="Z51" s="48"/>
      <c r="AA51" s="48"/>
      <c r="AB51" s="48">
        <f t="shared" si="151"/>
        <v>0</v>
      </c>
      <c r="AC51" s="48">
        <f t="shared" si="152"/>
        <v>0</v>
      </c>
      <c r="AE51" s="242"/>
      <c r="AF51" s="103"/>
    </row>
    <row r="52" spans="1:32" x14ac:dyDescent="0.2">
      <c r="A52" s="27" t="s">
        <v>177</v>
      </c>
      <c r="B52" s="41" t="s">
        <v>178</v>
      </c>
      <c r="C52" s="48"/>
      <c r="D52" s="48"/>
      <c r="E52" s="48"/>
      <c r="F52" s="48"/>
      <c r="G52" s="48"/>
      <c r="H52" s="48">
        <f t="shared" si="145"/>
        <v>0</v>
      </c>
      <c r="I52" s="48">
        <f t="shared" si="146"/>
        <v>50</v>
      </c>
      <c r="J52" s="48">
        <f t="shared" si="147"/>
        <v>0</v>
      </c>
      <c r="K52" s="48"/>
      <c r="L52" s="48"/>
      <c r="M52" s="48"/>
      <c r="N52" s="48">
        <f t="shared" si="148"/>
        <v>50</v>
      </c>
      <c r="O52" s="48"/>
      <c r="P52" s="48"/>
      <c r="Q52" s="48">
        <v>50</v>
      </c>
      <c r="R52" s="48"/>
      <c r="S52" s="48"/>
      <c r="T52" s="48">
        <f>U52+V52</f>
        <v>200</v>
      </c>
      <c r="U52" s="48"/>
      <c r="V52" s="48">
        <f t="shared" si="150"/>
        <v>200</v>
      </c>
      <c r="W52" s="48"/>
      <c r="X52" s="48">
        <v>200</v>
      </c>
      <c r="Y52" s="48"/>
      <c r="Z52" s="48"/>
      <c r="AA52" s="48"/>
      <c r="AB52" s="48">
        <f t="shared" si="151"/>
        <v>250</v>
      </c>
      <c r="AC52" s="48">
        <f t="shared" si="152"/>
        <v>250</v>
      </c>
      <c r="AE52" s="242"/>
      <c r="AF52" s="103"/>
    </row>
    <row r="53" spans="1:32" x14ac:dyDescent="0.2">
      <c r="A53" s="25" t="s">
        <v>179</v>
      </c>
      <c r="B53" s="26" t="s">
        <v>180</v>
      </c>
      <c r="C53" s="48"/>
      <c r="D53" s="48"/>
      <c r="E53" s="48"/>
      <c r="F53" s="48"/>
      <c r="G53" s="48">
        <v>500</v>
      </c>
      <c r="H53" s="48">
        <f t="shared" si="145"/>
        <v>500</v>
      </c>
      <c r="I53" s="48">
        <f t="shared" si="146"/>
        <v>0</v>
      </c>
      <c r="J53" s="48">
        <f t="shared" si="147"/>
        <v>0</v>
      </c>
      <c r="K53" s="48"/>
      <c r="L53" s="48"/>
      <c r="M53" s="48"/>
      <c r="N53" s="48">
        <f t="shared" si="148"/>
        <v>0</v>
      </c>
      <c r="O53" s="48"/>
      <c r="P53" s="48"/>
      <c r="Q53" s="48"/>
      <c r="R53" s="48"/>
      <c r="S53" s="48"/>
      <c r="T53" s="48">
        <f t="shared" si="149"/>
        <v>0</v>
      </c>
      <c r="U53" s="48"/>
      <c r="V53" s="48">
        <f t="shared" si="150"/>
        <v>0</v>
      </c>
      <c r="W53" s="48"/>
      <c r="X53" s="48"/>
      <c r="Y53" s="48"/>
      <c r="Z53" s="48"/>
      <c r="AA53" s="48"/>
      <c r="AB53" s="48">
        <f t="shared" si="151"/>
        <v>0</v>
      </c>
      <c r="AC53" s="48">
        <f t="shared" si="152"/>
        <v>500</v>
      </c>
      <c r="AE53" s="242"/>
      <c r="AF53" s="103"/>
    </row>
    <row r="54" spans="1:32" hidden="1" x14ac:dyDescent="0.2">
      <c r="A54" s="25" t="s">
        <v>181</v>
      </c>
      <c r="B54" s="26" t="s">
        <v>499</v>
      </c>
      <c r="C54" s="48"/>
      <c r="D54" s="48"/>
      <c r="E54" s="48"/>
      <c r="F54" s="48"/>
      <c r="G54" s="48"/>
      <c r="H54" s="48">
        <f>C54+D54+E54+F54+G54</f>
        <v>0</v>
      </c>
      <c r="I54" s="48">
        <f t="shared" si="146"/>
        <v>0</v>
      </c>
      <c r="J54" s="48">
        <f t="shared" si="147"/>
        <v>0</v>
      </c>
      <c r="K54" s="48"/>
      <c r="L54" s="48"/>
      <c r="M54" s="48"/>
      <c r="N54" s="48">
        <f t="shared" si="148"/>
        <v>0</v>
      </c>
      <c r="O54" s="48"/>
      <c r="P54" s="48"/>
      <c r="Q54" s="48"/>
      <c r="R54" s="48"/>
      <c r="S54" s="48"/>
      <c r="T54" s="48">
        <f t="shared" si="149"/>
        <v>0</v>
      </c>
      <c r="U54" s="48"/>
      <c r="V54" s="48">
        <f t="shared" si="150"/>
        <v>0</v>
      </c>
      <c r="W54" s="48"/>
      <c r="X54" s="48"/>
      <c r="Y54" s="48"/>
      <c r="Z54" s="48"/>
      <c r="AA54" s="48"/>
      <c r="AB54" s="48">
        <f t="shared" si="151"/>
        <v>0</v>
      </c>
      <c r="AC54" s="48">
        <f t="shared" si="152"/>
        <v>0</v>
      </c>
      <c r="AE54" s="242"/>
      <c r="AF54" s="103"/>
    </row>
    <row r="55" spans="1:32" x14ac:dyDescent="0.2">
      <c r="A55" s="23">
        <v>1.04</v>
      </c>
      <c r="B55" s="24" t="s">
        <v>13</v>
      </c>
      <c r="C55" s="47">
        <f>C56+C57+C58+C59+C60+C61+C62</f>
        <v>28031</v>
      </c>
      <c r="D55" s="47">
        <f t="shared" ref="D55:I55" si="153">D56+D57+D58+D59+D60+D61+D62</f>
        <v>0</v>
      </c>
      <c r="E55" s="47">
        <f t="shared" si="153"/>
        <v>6000</v>
      </c>
      <c r="F55" s="47">
        <f t="shared" si="153"/>
        <v>0</v>
      </c>
      <c r="G55" s="47">
        <f t="shared" si="153"/>
        <v>0</v>
      </c>
      <c r="H55" s="47">
        <f t="shared" si="153"/>
        <v>34031</v>
      </c>
      <c r="I55" s="47">
        <f t="shared" si="153"/>
        <v>285845</v>
      </c>
      <c r="J55" s="47">
        <f t="shared" ref="J55:AC55" si="154">J56+J57+J58+J59+J60+J61+J62</f>
        <v>104520</v>
      </c>
      <c r="K55" s="47">
        <f t="shared" si="154"/>
        <v>52620</v>
      </c>
      <c r="L55" s="47">
        <f t="shared" si="154"/>
        <v>51900</v>
      </c>
      <c r="M55" s="47">
        <f t="shared" si="154"/>
        <v>0</v>
      </c>
      <c r="N55" s="47">
        <f t="shared" si="154"/>
        <v>181325</v>
      </c>
      <c r="O55" s="47">
        <f t="shared" si="154"/>
        <v>89575</v>
      </c>
      <c r="P55" s="47">
        <f>P56+P57+P58+P59+P60+P61+P62</f>
        <v>32100</v>
      </c>
      <c r="Q55" s="47">
        <f>Q56+Q57+Q58+Q59+Q60+Q61+Q62</f>
        <v>28600</v>
      </c>
      <c r="R55" s="47">
        <f t="shared" ref="R55" si="155">R56+R57+R58+R59+R60+R61+R62</f>
        <v>31050</v>
      </c>
      <c r="S55" s="47">
        <f t="shared" ref="S55" si="156">S56+S57+S58+S59+S60+S61+S62</f>
        <v>0</v>
      </c>
      <c r="T55" s="47">
        <f t="shared" si="154"/>
        <v>3300</v>
      </c>
      <c r="U55" s="47">
        <f t="shared" ref="U55" si="157">U56+U57+U58+U59+U60+U61+U62</f>
        <v>1000</v>
      </c>
      <c r="V55" s="47">
        <f t="shared" si="154"/>
        <v>2300</v>
      </c>
      <c r="W55" s="47">
        <f t="shared" si="154"/>
        <v>0</v>
      </c>
      <c r="X55" s="47">
        <f t="shared" si="154"/>
        <v>0</v>
      </c>
      <c r="Y55" s="47">
        <f t="shared" si="154"/>
        <v>0</v>
      </c>
      <c r="Z55" s="47">
        <f t="shared" si="154"/>
        <v>2300</v>
      </c>
      <c r="AA55" s="47">
        <f>AA56+AA57+AA58+AA59+AA60+AA61+AA62</f>
        <v>0</v>
      </c>
      <c r="AB55" s="47">
        <f t="shared" si="154"/>
        <v>289145</v>
      </c>
      <c r="AC55" s="47">
        <f t="shared" si="154"/>
        <v>323176</v>
      </c>
      <c r="AE55" s="242"/>
      <c r="AF55" s="103"/>
    </row>
    <row r="56" spans="1:32" x14ac:dyDescent="0.2">
      <c r="A56" s="25" t="s">
        <v>182</v>
      </c>
      <c r="B56" s="26" t="s">
        <v>500</v>
      </c>
      <c r="C56" s="48"/>
      <c r="D56" s="48"/>
      <c r="E56" s="48"/>
      <c r="F56" s="48"/>
      <c r="G56" s="48"/>
      <c r="H56" s="48">
        <f t="shared" ref="H56:H62" si="158">C56+D56+E56+F56+G56</f>
        <v>0</v>
      </c>
      <c r="I56" s="48">
        <f t="shared" ref="I56:I62" si="159">J56+N56+S56</f>
        <v>1550</v>
      </c>
      <c r="J56" s="48">
        <f t="shared" ref="J56:J62" si="160">K56+L56+M56</f>
        <v>800</v>
      </c>
      <c r="K56" s="48"/>
      <c r="L56" s="48">
        <v>800</v>
      </c>
      <c r="M56" s="48"/>
      <c r="N56" s="48">
        <f>O56+P56+Q56+R56</f>
        <v>750</v>
      </c>
      <c r="O56" s="48">
        <v>750</v>
      </c>
      <c r="P56" s="48"/>
      <c r="Q56" s="48"/>
      <c r="R56" s="48"/>
      <c r="S56" s="48"/>
      <c r="T56" s="48">
        <f t="shared" ref="T56:T62" si="161">U56+V56</f>
        <v>2300</v>
      </c>
      <c r="U56" s="48"/>
      <c r="V56" s="48">
        <f t="shared" ref="V56:V62" si="162">W56+X56+Y56+Z56+AA56</f>
        <v>2300</v>
      </c>
      <c r="W56" s="48"/>
      <c r="X56" s="48"/>
      <c r="Y56" s="48"/>
      <c r="Z56" s="48">
        <v>2300</v>
      </c>
      <c r="AA56" s="48"/>
      <c r="AB56" s="48">
        <f t="shared" ref="AB56:AB62" si="163">I56+T56</f>
        <v>3850</v>
      </c>
      <c r="AC56" s="48">
        <f t="shared" ref="AC56:AC62" si="164">H56+AB56</f>
        <v>3850</v>
      </c>
      <c r="AE56" s="242"/>
      <c r="AF56" s="103"/>
    </row>
    <row r="57" spans="1:32" s="32" customFormat="1" hidden="1" x14ac:dyDescent="0.2">
      <c r="A57" s="27" t="s">
        <v>28</v>
      </c>
      <c r="B57" s="41" t="s">
        <v>29</v>
      </c>
      <c r="C57" s="48"/>
      <c r="D57" s="48"/>
      <c r="E57" s="48"/>
      <c r="F57" s="48"/>
      <c r="G57" s="48"/>
      <c r="H57" s="48">
        <f t="shared" si="158"/>
        <v>0</v>
      </c>
      <c r="I57" s="48">
        <f t="shared" si="159"/>
        <v>0</v>
      </c>
      <c r="J57" s="48">
        <f t="shared" si="160"/>
        <v>0</v>
      </c>
      <c r="K57" s="48"/>
      <c r="L57" s="48"/>
      <c r="M57" s="48"/>
      <c r="N57" s="48">
        <f t="shared" ref="N57:N61" si="165">O57+P57+Q57+R57</f>
        <v>0</v>
      </c>
      <c r="O57" s="48"/>
      <c r="P57" s="48"/>
      <c r="Q57" s="48"/>
      <c r="R57" s="48"/>
      <c r="S57" s="48"/>
      <c r="T57" s="48">
        <f t="shared" si="161"/>
        <v>0</v>
      </c>
      <c r="U57" s="48"/>
      <c r="V57" s="48">
        <f t="shared" si="162"/>
        <v>0</v>
      </c>
      <c r="W57" s="48"/>
      <c r="X57" s="48"/>
      <c r="Y57" s="48"/>
      <c r="Z57" s="48"/>
      <c r="AA57" s="48"/>
      <c r="AB57" s="48">
        <f t="shared" si="163"/>
        <v>0</v>
      </c>
      <c r="AC57" s="48">
        <f t="shared" si="164"/>
        <v>0</v>
      </c>
      <c r="AE57" s="243"/>
      <c r="AF57" s="103"/>
    </row>
    <row r="58" spans="1:32" x14ac:dyDescent="0.2">
      <c r="A58" s="25" t="s">
        <v>112</v>
      </c>
      <c r="B58" s="26" t="s">
        <v>501</v>
      </c>
      <c r="C58" s="48"/>
      <c r="D58" s="48"/>
      <c r="E58" s="48"/>
      <c r="F58" s="48"/>
      <c r="G58" s="48"/>
      <c r="H58" s="48">
        <f t="shared" si="158"/>
        <v>0</v>
      </c>
      <c r="I58" s="48">
        <f t="shared" si="159"/>
        <v>1000</v>
      </c>
      <c r="J58" s="48">
        <f t="shared" si="160"/>
        <v>0</v>
      </c>
      <c r="K58" s="48"/>
      <c r="L58" s="48"/>
      <c r="M58" s="48"/>
      <c r="N58" s="48">
        <f t="shared" si="165"/>
        <v>1000</v>
      </c>
      <c r="O58" s="48"/>
      <c r="P58" s="48">
        <v>1000</v>
      </c>
      <c r="Q58" s="48"/>
      <c r="R58" s="48"/>
      <c r="S58" s="48"/>
      <c r="T58" s="48">
        <f t="shared" si="161"/>
        <v>0</v>
      </c>
      <c r="U58" s="48"/>
      <c r="V58" s="48">
        <f t="shared" si="162"/>
        <v>0</v>
      </c>
      <c r="W58" s="48"/>
      <c r="X58" s="48"/>
      <c r="Y58" s="48"/>
      <c r="Z58" s="48"/>
      <c r="AA58" s="48"/>
      <c r="AB58" s="48">
        <f t="shared" si="163"/>
        <v>1000</v>
      </c>
      <c r="AC58" s="48">
        <f t="shared" si="164"/>
        <v>1000</v>
      </c>
      <c r="AE58" s="242"/>
      <c r="AF58" s="103"/>
    </row>
    <row r="59" spans="1:32" hidden="1" x14ac:dyDescent="0.2">
      <c r="A59" s="25" t="s">
        <v>76</v>
      </c>
      <c r="B59" s="26" t="s">
        <v>90</v>
      </c>
      <c r="C59" s="48"/>
      <c r="D59" s="48"/>
      <c r="E59" s="48"/>
      <c r="F59" s="48"/>
      <c r="G59" s="48"/>
      <c r="H59" s="48">
        <f t="shared" si="158"/>
        <v>0</v>
      </c>
      <c r="I59" s="48">
        <f t="shared" si="159"/>
        <v>0</v>
      </c>
      <c r="J59" s="48">
        <f t="shared" si="160"/>
        <v>0</v>
      </c>
      <c r="K59" s="48"/>
      <c r="L59" s="48"/>
      <c r="M59" s="48"/>
      <c r="N59" s="48">
        <f t="shared" si="165"/>
        <v>0</v>
      </c>
      <c r="O59" s="48"/>
      <c r="P59" s="48"/>
      <c r="Q59" s="48"/>
      <c r="R59" s="48"/>
      <c r="S59" s="48"/>
      <c r="T59" s="48">
        <f t="shared" si="161"/>
        <v>0</v>
      </c>
      <c r="U59" s="48"/>
      <c r="V59" s="48">
        <f t="shared" si="162"/>
        <v>0</v>
      </c>
      <c r="W59" s="48"/>
      <c r="X59" s="48"/>
      <c r="Y59" s="48"/>
      <c r="Z59" s="48"/>
      <c r="AA59" s="48"/>
      <c r="AB59" s="48">
        <f t="shared" si="163"/>
        <v>0</v>
      </c>
      <c r="AC59" s="48">
        <f t="shared" si="164"/>
        <v>0</v>
      </c>
      <c r="AE59" s="242"/>
      <c r="AF59" s="103"/>
    </row>
    <row r="60" spans="1:32" x14ac:dyDescent="0.2">
      <c r="A60" s="25" t="s">
        <v>77</v>
      </c>
      <c r="B60" s="41" t="s">
        <v>502</v>
      </c>
      <c r="C60" s="48">
        <v>7000</v>
      </c>
      <c r="D60" s="48"/>
      <c r="E60" s="48">
        <v>6000</v>
      </c>
      <c r="F60" s="48"/>
      <c r="G60" s="48"/>
      <c r="H60" s="48">
        <f t="shared" si="158"/>
        <v>13000</v>
      </c>
      <c r="I60" s="48">
        <f t="shared" si="159"/>
        <v>0</v>
      </c>
      <c r="J60" s="48">
        <f t="shared" si="160"/>
        <v>0</v>
      </c>
      <c r="K60" s="48"/>
      <c r="L60" s="48"/>
      <c r="M60" s="48"/>
      <c r="N60" s="48">
        <f t="shared" si="165"/>
        <v>0</v>
      </c>
      <c r="O60" s="48"/>
      <c r="P60" s="48"/>
      <c r="Q60" s="48"/>
      <c r="R60" s="48"/>
      <c r="S60" s="48"/>
      <c r="T60" s="48">
        <f t="shared" si="161"/>
        <v>1000</v>
      </c>
      <c r="U60" s="48">
        <v>1000</v>
      </c>
      <c r="V60" s="48">
        <f t="shared" si="162"/>
        <v>0</v>
      </c>
      <c r="W60" s="48"/>
      <c r="X60" s="48"/>
      <c r="Y60" s="48"/>
      <c r="Z60" s="48"/>
      <c r="AA60" s="48"/>
      <c r="AB60" s="48">
        <f t="shared" si="163"/>
        <v>1000</v>
      </c>
      <c r="AC60" s="48">
        <f t="shared" si="164"/>
        <v>14000</v>
      </c>
      <c r="AE60" s="242"/>
      <c r="AF60" s="103"/>
    </row>
    <row r="61" spans="1:32" x14ac:dyDescent="0.2">
      <c r="A61" s="25" t="s">
        <v>121</v>
      </c>
      <c r="B61" s="26" t="s">
        <v>126</v>
      </c>
      <c r="C61" s="48">
        <f>1781+10000</f>
        <v>11781</v>
      </c>
      <c r="D61" s="48"/>
      <c r="E61" s="48"/>
      <c r="F61" s="48"/>
      <c r="G61" s="48"/>
      <c r="H61" s="48">
        <f t="shared" si="158"/>
        <v>11781</v>
      </c>
      <c r="I61" s="48">
        <f t="shared" si="159"/>
        <v>282195</v>
      </c>
      <c r="J61" s="48">
        <f t="shared" si="160"/>
        <v>102620</v>
      </c>
      <c r="K61" s="48">
        <f>24000+3600+23520+500</f>
        <v>51620</v>
      </c>
      <c r="L61" s="48">
        <f>22000+3300+25200+500</f>
        <v>51000</v>
      </c>
      <c r="M61" s="48"/>
      <c r="N61" s="48">
        <f t="shared" si="165"/>
        <v>179575</v>
      </c>
      <c r="O61" s="48">
        <f>75000+9325+4500</f>
        <v>88825</v>
      </c>
      <c r="P61" s="48">
        <f>24000+3600+3500</f>
        <v>31100</v>
      </c>
      <c r="Q61" s="48">
        <f>24000+4600</f>
        <v>28600</v>
      </c>
      <c r="R61" s="48">
        <f>27000+4050</f>
        <v>31050</v>
      </c>
      <c r="S61" s="48"/>
      <c r="T61" s="48">
        <f t="shared" si="161"/>
        <v>0</v>
      </c>
      <c r="U61" s="48"/>
      <c r="V61" s="48">
        <f t="shared" si="162"/>
        <v>0</v>
      </c>
      <c r="W61" s="48"/>
      <c r="X61" s="48"/>
      <c r="Y61" s="48"/>
      <c r="Z61" s="48"/>
      <c r="AA61" s="48"/>
      <c r="AB61" s="48">
        <f t="shared" si="163"/>
        <v>282195</v>
      </c>
      <c r="AC61" s="48">
        <f t="shared" si="164"/>
        <v>293976</v>
      </c>
      <c r="AE61" s="242"/>
      <c r="AF61" s="103"/>
    </row>
    <row r="62" spans="1:32" x14ac:dyDescent="0.2">
      <c r="A62" s="25" t="s">
        <v>183</v>
      </c>
      <c r="B62" s="26" t="s">
        <v>184</v>
      </c>
      <c r="C62" s="48">
        <v>9250</v>
      </c>
      <c r="D62" s="48"/>
      <c r="E62" s="48"/>
      <c r="F62" s="48"/>
      <c r="G62" s="48"/>
      <c r="H62" s="48">
        <f t="shared" si="158"/>
        <v>9250</v>
      </c>
      <c r="I62" s="48">
        <f t="shared" si="159"/>
        <v>1100</v>
      </c>
      <c r="J62" s="48">
        <f t="shared" si="160"/>
        <v>1100</v>
      </c>
      <c r="K62" s="48">
        <v>1000</v>
      </c>
      <c r="L62" s="48">
        <v>100</v>
      </c>
      <c r="M62" s="48"/>
      <c r="N62" s="48">
        <f>5500-5500</f>
        <v>0</v>
      </c>
      <c r="O62" s="48"/>
      <c r="P62" s="48"/>
      <c r="Q62" s="48"/>
      <c r="R62" s="48"/>
      <c r="S62" s="48"/>
      <c r="T62" s="48">
        <f t="shared" si="161"/>
        <v>0</v>
      </c>
      <c r="U62" s="48"/>
      <c r="V62" s="48">
        <f t="shared" si="162"/>
        <v>0</v>
      </c>
      <c r="W62" s="48"/>
      <c r="X62" s="48"/>
      <c r="Y62" s="48"/>
      <c r="Z62" s="48"/>
      <c r="AA62" s="48"/>
      <c r="AB62" s="48">
        <f t="shared" si="163"/>
        <v>1100</v>
      </c>
      <c r="AC62" s="48">
        <f t="shared" si="164"/>
        <v>10350</v>
      </c>
      <c r="AE62" s="242"/>
      <c r="AF62" s="103"/>
    </row>
    <row r="63" spans="1:32" x14ac:dyDescent="0.2">
      <c r="A63" s="23">
        <v>1.05</v>
      </c>
      <c r="B63" s="24" t="s">
        <v>91</v>
      </c>
      <c r="C63" s="47">
        <f>C64+C65+C66+C67</f>
        <v>1570</v>
      </c>
      <c r="D63" s="47">
        <f t="shared" ref="D63:I63" si="166">D64+D65+D66+D67</f>
        <v>200</v>
      </c>
      <c r="E63" s="47">
        <f t="shared" si="166"/>
        <v>110</v>
      </c>
      <c r="F63" s="47">
        <f t="shared" si="166"/>
        <v>1000</v>
      </c>
      <c r="G63" s="47">
        <f t="shared" si="166"/>
        <v>1720</v>
      </c>
      <c r="H63" s="47">
        <f t="shared" si="166"/>
        <v>4600</v>
      </c>
      <c r="I63" s="47">
        <f t="shared" si="166"/>
        <v>51632.07</v>
      </c>
      <c r="J63" s="47">
        <f t="shared" ref="J63:AC63" si="167">J64+J65+J66+J67</f>
        <v>9352</v>
      </c>
      <c r="K63" s="47">
        <f t="shared" si="167"/>
        <v>0</v>
      </c>
      <c r="L63" s="47">
        <f t="shared" si="167"/>
        <v>0</v>
      </c>
      <c r="M63" s="47">
        <f t="shared" si="167"/>
        <v>0</v>
      </c>
      <c r="N63" s="47">
        <f t="shared" si="167"/>
        <v>18450</v>
      </c>
      <c r="O63" s="47">
        <f t="shared" si="167"/>
        <v>0</v>
      </c>
      <c r="P63" s="47">
        <f t="shared" ref="P63:R63" si="168">P64+P65+P66+P67</f>
        <v>0</v>
      </c>
      <c r="Q63" s="47">
        <f t="shared" si="168"/>
        <v>0</v>
      </c>
      <c r="R63" s="47">
        <f t="shared" si="168"/>
        <v>0</v>
      </c>
      <c r="S63" s="47">
        <f t="shared" ref="S63" si="169">S64+S65+S66+S67</f>
        <v>23830.07</v>
      </c>
      <c r="T63" s="47">
        <f t="shared" si="167"/>
        <v>37500</v>
      </c>
      <c r="U63" s="47">
        <f t="shared" ref="U63" si="170">U64+U65+U66+U67</f>
        <v>1200</v>
      </c>
      <c r="V63" s="47">
        <f t="shared" si="167"/>
        <v>36300</v>
      </c>
      <c r="W63" s="47">
        <f t="shared" si="167"/>
        <v>0</v>
      </c>
      <c r="X63" s="47">
        <f t="shared" si="167"/>
        <v>0</v>
      </c>
      <c r="Y63" s="47">
        <f t="shared" si="167"/>
        <v>0</v>
      </c>
      <c r="Z63" s="47">
        <f t="shared" si="167"/>
        <v>0</v>
      </c>
      <c r="AA63" s="47">
        <f>AA64+AA65+AA66+AA67</f>
        <v>0</v>
      </c>
      <c r="AB63" s="47">
        <f t="shared" si="167"/>
        <v>89132.07</v>
      </c>
      <c r="AC63" s="47">
        <f t="shared" si="167"/>
        <v>93732.07</v>
      </c>
      <c r="AE63" s="242"/>
      <c r="AF63" s="103"/>
    </row>
    <row r="64" spans="1:32" x14ac:dyDescent="0.2">
      <c r="A64" s="25" t="s">
        <v>185</v>
      </c>
      <c r="B64" s="26" t="s">
        <v>186</v>
      </c>
      <c r="C64" s="48">
        <f>1600-D64-E64-F64-G64</f>
        <v>1570</v>
      </c>
      <c r="D64" s="48"/>
      <c r="E64" s="48">
        <v>30</v>
      </c>
      <c r="F64" s="48"/>
      <c r="G64" s="48"/>
      <c r="H64" s="48">
        <f t="shared" ref="H64:H67" si="171">C64+D64+E64+F64+G64</f>
        <v>1600</v>
      </c>
      <c r="I64" s="48">
        <f t="shared" ref="I64:I67" si="172">J64+N64+S64</f>
        <v>3500</v>
      </c>
      <c r="J64" s="48">
        <f>K64+L64+M64</f>
        <v>0</v>
      </c>
      <c r="K64" s="48"/>
      <c r="L64" s="48"/>
      <c r="M64" s="48"/>
      <c r="N64" s="48">
        <f t="shared" ref="N64:N67" si="173">O64+P64+Q64+R64</f>
        <v>0</v>
      </c>
      <c r="O64" s="48"/>
      <c r="P64" s="48"/>
      <c r="Q64" s="48"/>
      <c r="R64" s="48"/>
      <c r="S64" s="48">
        <v>3500</v>
      </c>
      <c r="T64" s="48">
        <f t="shared" ref="T64:T67" si="174">U64+V64</f>
        <v>0</v>
      </c>
      <c r="U64" s="48"/>
      <c r="V64" s="48">
        <f t="shared" ref="V64:V67" si="175">W64+X64+Y64+Z64+AA64</f>
        <v>0</v>
      </c>
      <c r="W64" s="48"/>
      <c r="X64" s="48"/>
      <c r="Y64" s="48"/>
      <c r="Z64" s="48"/>
      <c r="AA64" s="48"/>
      <c r="AB64" s="48">
        <f t="shared" ref="AB64:AB67" si="176">I64+T64</f>
        <v>3500</v>
      </c>
      <c r="AC64" s="48">
        <f t="shared" ref="AC64:AC67" si="177">H64+AB64</f>
        <v>5100</v>
      </c>
      <c r="AE64" s="242"/>
      <c r="AF64" s="103"/>
    </row>
    <row r="65" spans="1:32" x14ac:dyDescent="0.2">
      <c r="A65" s="25" t="s">
        <v>78</v>
      </c>
      <c r="B65" s="26" t="s">
        <v>92</v>
      </c>
      <c r="C65" s="48"/>
      <c r="D65" s="48">
        <v>200</v>
      </c>
      <c r="E65" s="48">
        <v>80</v>
      </c>
      <c r="F65" s="48">
        <v>1000</v>
      </c>
      <c r="G65" s="48">
        <v>1720</v>
      </c>
      <c r="H65" s="48">
        <f>C65+D65+E65+F65+G65</f>
        <v>3000</v>
      </c>
      <c r="I65" s="48">
        <f t="shared" si="172"/>
        <v>48132.07</v>
      </c>
      <c r="J65" s="48">
        <f>K65+L65+M65+(9352)</f>
        <v>9352</v>
      </c>
      <c r="K65" s="48"/>
      <c r="L65" s="48"/>
      <c r="M65" s="48"/>
      <c r="N65" s="48">
        <f>O65+P65+Q65+R65+(18450)</f>
        <v>18450</v>
      </c>
      <c r="O65" s="48"/>
      <c r="P65" s="48"/>
      <c r="Q65" s="48"/>
      <c r="R65" s="48"/>
      <c r="S65" s="48">
        <f>20000+330.07</f>
        <v>20330.07</v>
      </c>
      <c r="T65" s="48">
        <f t="shared" si="174"/>
        <v>37500</v>
      </c>
      <c r="U65" s="48">
        <v>1200</v>
      </c>
      <c r="V65" s="48">
        <f>W65+X65+Y65+Z65+AA65+(36300)</f>
        <v>36300</v>
      </c>
      <c r="W65" s="48"/>
      <c r="X65" s="48"/>
      <c r="Y65" s="48"/>
      <c r="Z65" s="48"/>
      <c r="AA65" s="48"/>
      <c r="AB65" s="48">
        <f t="shared" si="176"/>
        <v>85632.07</v>
      </c>
      <c r="AC65" s="48">
        <f t="shared" si="177"/>
        <v>88632.07</v>
      </c>
      <c r="AE65" s="242"/>
      <c r="AF65" s="103"/>
    </row>
    <row r="66" spans="1:32" hidden="1" x14ac:dyDescent="0.2">
      <c r="A66" s="25" t="s">
        <v>187</v>
      </c>
      <c r="B66" s="26" t="s">
        <v>188</v>
      </c>
      <c r="C66" s="48"/>
      <c r="D66" s="48"/>
      <c r="E66" s="48"/>
      <c r="F66" s="48"/>
      <c r="G66" s="48"/>
      <c r="H66" s="48">
        <f t="shared" si="171"/>
        <v>0</v>
      </c>
      <c r="I66" s="48">
        <f t="shared" si="172"/>
        <v>0</v>
      </c>
      <c r="J66" s="48">
        <f t="shared" ref="J66:J67" si="178">K66+L66+M66</f>
        <v>0</v>
      </c>
      <c r="K66" s="48"/>
      <c r="L66" s="48"/>
      <c r="M66" s="48"/>
      <c r="N66" s="48">
        <f t="shared" si="173"/>
        <v>0</v>
      </c>
      <c r="O66" s="48"/>
      <c r="P66" s="48"/>
      <c r="Q66" s="48"/>
      <c r="R66" s="48"/>
      <c r="S66" s="48"/>
      <c r="T66" s="48">
        <f t="shared" si="174"/>
        <v>0</v>
      </c>
      <c r="U66" s="48"/>
      <c r="V66" s="48">
        <f t="shared" si="175"/>
        <v>0</v>
      </c>
      <c r="W66" s="48"/>
      <c r="X66" s="48"/>
      <c r="Y66" s="48"/>
      <c r="Z66" s="48"/>
      <c r="AA66" s="48"/>
      <c r="AB66" s="48">
        <f t="shared" si="176"/>
        <v>0</v>
      </c>
      <c r="AC66" s="48">
        <f t="shared" si="177"/>
        <v>0</v>
      </c>
      <c r="AE66" s="242"/>
      <c r="AF66" s="103"/>
    </row>
    <row r="67" spans="1:32" hidden="1" x14ac:dyDescent="0.2">
      <c r="A67" s="25" t="s">
        <v>189</v>
      </c>
      <c r="B67" s="26" t="s">
        <v>190</v>
      </c>
      <c r="C67" s="48"/>
      <c r="D67" s="48"/>
      <c r="E67" s="48"/>
      <c r="F67" s="48"/>
      <c r="G67" s="48"/>
      <c r="H67" s="48">
        <f t="shared" si="171"/>
        <v>0</v>
      </c>
      <c r="I67" s="48">
        <f t="shared" si="172"/>
        <v>0</v>
      </c>
      <c r="J67" s="48">
        <f t="shared" si="178"/>
        <v>0</v>
      </c>
      <c r="K67" s="48"/>
      <c r="L67" s="48"/>
      <c r="M67" s="48"/>
      <c r="N67" s="48">
        <f t="shared" si="173"/>
        <v>0</v>
      </c>
      <c r="O67" s="48"/>
      <c r="P67" s="48"/>
      <c r="Q67" s="48"/>
      <c r="R67" s="48"/>
      <c r="S67" s="48"/>
      <c r="T67" s="48">
        <f t="shared" si="174"/>
        <v>0</v>
      </c>
      <c r="U67" s="48"/>
      <c r="V67" s="48">
        <f t="shared" si="175"/>
        <v>0</v>
      </c>
      <c r="W67" s="48"/>
      <c r="X67" s="48"/>
      <c r="Y67" s="48"/>
      <c r="Z67" s="48"/>
      <c r="AA67" s="48"/>
      <c r="AB67" s="48">
        <f t="shared" si="176"/>
        <v>0</v>
      </c>
      <c r="AC67" s="48">
        <f t="shared" si="177"/>
        <v>0</v>
      </c>
      <c r="AE67" s="242"/>
      <c r="AF67" s="103"/>
    </row>
    <row r="68" spans="1:32" x14ac:dyDescent="0.2">
      <c r="A68" s="23">
        <v>1.06</v>
      </c>
      <c r="B68" s="24" t="s">
        <v>191</v>
      </c>
      <c r="C68" s="47">
        <f t="shared" ref="C68:H68" si="179">C69</f>
        <v>77025</v>
      </c>
      <c r="D68" s="47">
        <f t="shared" si="179"/>
        <v>0</v>
      </c>
      <c r="E68" s="47">
        <f t="shared" si="179"/>
        <v>0</v>
      </c>
      <c r="F68" s="47">
        <f t="shared" si="179"/>
        <v>0</v>
      </c>
      <c r="G68" s="47">
        <f t="shared" si="179"/>
        <v>0</v>
      </c>
      <c r="H68" s="47">
        <f t="shared" si="179"/>
        <v>77025</v>
      </c>
      <c r="I68" s="47">
        <f t="shared" ref="I68:AC68" si="180">I69</f>
        <v>0</v>
      </c>
      <c r="J68" s="47">
        <f t="shared" si="180"/>
        <v>0</v>
      </c>
      <c r="K68" s="47">
        <f t="shared" si="180"/>
        <v>0</v>
      </c>
      <c r="L68" s="47">
        <f t="shared" si="180"/>
        <v>0</v>
      </c>
      <c r="M68" s="47">
        <f t="shared" si="180"/>
        <v>0</v>
      </c>
      <c r="N68" s="47">
        <f t="shared" si="180"/>
        <v>0</v>
      </c>
      <c r="O68" s="47">
        <f t="shared" si="180"/>
        <v>0</v>
      </c>
      <c r="P68" s="47">
        <f t="shared" si="180"/>
        <v>0</v>
      </c>
      <c r="Q68" s="47">
        <f t="shared" si="180"/>
        <v>0</v>
      </c>
      <c r="R68" s="47">
        <f t="shared" si="180"/>
        <v>0</v>
      </c>
      <c r="S68" s="47">
        <f t="shared" si="180"/>
        <v>0</v>
      </c>
      <c r="T68" s="47">
        <f t="shared" si="180"/>
        <v>0</v>
      </c>
      <c r="U68" s="47">
        <f t="shared" si="180"/>
        <v>0</v>
      </c>
      <c r="V68" s="47">
        <f t="shared" si="180"/>
        <v>0</v>
      </c>
      <c r="W68" s="47">
        <f t="shared" si="180"/>
        <v>0</v>
      </c>
      <c r="X68" s="47">
        <f t="shared" si="180"/>
        <v>0</v>
      </c>
      <c r="Y68" s="47">
        <f t="shared" si="180"/>
        <v>0</v>
      </c>
      <c r="Z68" s="47">
        <f t="shared" si="180"/>
        <v>0</v>
      </c>
      <c r="AA68" s="47">
        <f t="shared" si="180"/>
        <v>0</v>
      </c>
      <c r="AB68" s="47">
        <f t="shared" si="180"/>
        <v>0</v>
      </c>
      <c r="AC68" s="47">
        <f t="shared" si="180"/>
        <v>77025</v>
      </c>
      <c r="AE68" s="242"/>
      <c r="AF68" s="103"/>
    </row>
    <row r="69" spans="1:32" x14ac:dyDescent="0.2">
      <c r="A69" s="25" t="s">
        <v>192</v>
      </c>
      <c r="B69" s="26" t="s">
        <v>193</v>
      </c>
      <c r="C69" s="48">
        <v>77025</v>
      </c>
      <c r="D69" s="48"/>
      <c r="E69" s="48"/>
      <c r="F69" s="48"/>
      <c r="G69" s="48"/>
      <c r="H69" s="48">
        <f>C69+D69+E69+F69+G69</f>
        <v>77025</v>
      </c>
      <c r="I69" s="48">
        <f>J69+N69+S69</f>
        <v>0</v>
      </c>
      <c r="J69" s="48">
        <f>K69+L69+M69</f>
        <v>0</v>
      </c>
      <c r="K69" s="48"/>
      <c r="L69" s="48"/>
      <c r="M69" s="48"/>
      <c r="N69" s="48">
        <f>O69+P69+Q69+R69</f>
        <v>0</v>
      </c>
      <c r="O69" s="48"/>
      <c r="P69" s="48"/>
      <c r="Q69" s="48"/>
      <c r="R69" s="48"/>
      <c r="S69" s="48"/>
      <c r="T69" s="48">
        <f>U69+V69</f>
        <v>0</v>
      </c>
      <c r="U69" s="48"/>
      <c r="V69" s="48">
        <f>W69+X69+Y69+Z69+AA69</f>
        <v>0</v>
      </c>
      <c r="W69" s="48"/>
      <c r="X69" s="48"/>
      <c r="Y69" s="48"/>
      <c r="Z69" s="48"/>
      <c r="AA69" s="48"/>
      <c r="AB69" s="48">
        <f>I69+T69</f>
        <v>0</v>
      </c>
      <c r="AC69" s="48">
        <f>H69+AB69</f>
        <v>77025</v>
      </c>
      <c r="AE69" s="242"/>
      <c r="AF69" s="103"/>
    </row>
    <row r="70" spans="1:32" x14ac:dyDescent="0.2">
      <c r="A70" s="23">
        <v>1.07</v>
      </c>
      <c r="B70" s="24" t="s">
        <v>14</v>
      </c>
      <c r="C70" s="47">
        <f>C71+C72+C73</f>
        <v>0</v>
      </c>
      <c r="D70" s="47">
        <f t="shared" ref="D70:I70" si="181">D71+D72+D73</f>
        <v>600</v>
      </c>
      <c r="E70" s="47">
        <f t="shared" si="181"/>
        <v>50</v>
      </c>
      <c r="F70" s="47">
        <f t="shared" si="181"/>
        <v>1000</v>
      </c>
      <c r="G70" s="47">
        <f t="shared" si="181"/>
        <v>1000</v>
      </c>
      <c r="H70" s="47">
        <f t="shared" si="181"/>
        <v>2650</v>
      </c>
      <c r="I70" s="47">
        <f t="shared" si="181"/>
        <v>0</v>
      </c>
      <c r="J70" s="47">
        <f t="shared" ref="J70:AC70" si="182">J71+J72+J73</f>
        <v>0</v>
      </c>
      <c r="K70" s="47">
        <f t="shared" si="182"/>
        <v>0</v>
      </c>
      <c r="L70" s="47">
        <f t="shared" si="182"/>
        <v>0</v>
      </c>
      <c r="M70" s="47">
        <f t="shared" si="182"/>
        <v>0</v>
      </c>
      <c r="N70" s="47">
        <f t="shared" si="182"/>
        <v>0</v>
      </c>
      <c r="O70" s="47">
        <f t="shared" si="182"/>
        <v>0</v>
      </c>
      <c r="P70" s="47">
        <f t="shared" ref="P70:R70" si="183">P71+P72+P73</f>
        <v>0</v>
      </c>
      <c r="Q70" s="47">
        <f t="shared" si="183"/>
        <v>0</v>
      </c>
      <c r="R70" s="47">
        <f t="shared" si="183"/>
        <v>0</v>
      </c>
      <c r="S70" s="47">
        <f t="shared" ref="S70" si="184">S71+S72+S73</f>
        <v>0</v>
      </c>
      <c r="T70" s="47">
        <f t="shared" si="182"/>
        <v>11000</v>
      </c>
      <c r="U70" s="47">
        <f t="shared" ref="U70" si="185">U71+U72+U73</f>
        <v>10000</v>
      </c>
      <c r="V70" s="47">
        <f t="shared" si="182"/>
        <v>1000</v>
      </c>
      <c r="W70" s="47">
        <f t="shared" si="182"/>
        <v>0</v>
      </c>
      <c r="X70" s="47">
        <f t="shared" si="182"/>
        <v>0</v>
      </c>
      <c r="Y70" s="47">
        <f t="shared" si="182"/>
        <v>0</v>
      </c>
      <c r="Z70" s="47">
        <f t="shared" si="182"/>
        <v>0</v>
      </c>
      <c r="AA70" s="47">
        <f t="shared" si="182"/>
        <v>0</v>
      </c>
      <c r="AB70" s="47">
        <f t="shared" si="182"/>
        <v>11000</v>
      </c>
      <c r="AC70" s="47">
        <f t="shared" si="182"/>
        <v>13650</v>
      </c>
      <c r="AE70" s="242"/>
      <c r="AF70" s="103"/>
    </row>
    <row r="71" spans="1:32" x14ac:dyDescent="0.2">
      <c r="A71" s="25" t="s">
        <v>79</v>
      </c>
      <c r="B71" s="26" t="s">
        <v>94</v>
      </c>
      <c r="C71" s="48"/>
      <c r="D71" s="48">
        <v>600</v>
      </c>
      <c r="E71" s="48">
        <v>50</v>
      </c>
      <c r="F71" s="48">
        <v>1000</v>
      </c>
      <c r="G71" s="48">
        <v>1000</v>
      </c>
      <c r="H71" s="48">
        <f t="shared" ref="H71:H73" si="186">C71+D71+E71+F71+G71</f>
        <v>2650</v>
      </c>
      <c r="I71" s="48">
        <f t="shared" ref="I71:I72" si="187">J71+N71+S71</f>
        <v>0</v>
      </c>
      <c r="J71" s="48">
        <f t="shared" ref="I71:J73" si="188">K71+L71+M71</f>
        <v>0</v>
      </c>
      <c r="K71" s="48"/>
      <c r="L71" s="48"/>
      <c r="M71" s="48"/>
      <c r="N71" s="48">
        <f t="shared" ref="N71:N73" si="189">O71+P71+Q71+R71</f>
        <v>0</v>
      </c>
      <c r="O71" s="48"/>
      <c r="P71" s="48"/>
      <c r="Q71" s="48"/>
      <c r="R71" s="48"/>
      <c r="S71" s="48"/>
      <c r="T71" s="48">
        <f t="shared" ref="T71:T73" si="190">U71+V71</f>
        <v>11000</v>
      </c>
      <c r="U71" s="48">
        <v>10000</v>
      </c>
      <c r="V71" s="48">
        <f>W71+X71+Y71+Z71+AA71+1000</f>
        <v>1000</v>
      </c>
      <c r="W71" s="48"/>
      <c r="X71" s="48"/>
      <c r="Y71" s="48"/>
      <c r="Z71" s="48"/>
      <c r="AA71" s="48"/>
      <c r="AB71" s="48">
        <f t="shared" ref="AB71:AB73" si="191">I71+T71</f>
        <v>11000</v>
      </c>
      <c r="AC71" s="48">
        <f t="shared" ref="AC71:AC73" si="192">H71+AB71</f>
        <v>13650</v>
      </c>
      <c r="AE71" s="242"/>
      <c r="AF71" s="103"/>
    </row>
    <row r="72" spans="1:32" hidden="1" x14ac:dyDescent="0.2">
      <c r="A72" s="25" t="s">
        <v>194</v>
      </c>
      <c r="B72" s="26" t="s">
        <v>195</v>
      </c>
      <c r="C72" s="48"/>
      <c r="D72" s="48"/>
      <c r="E72" s="48"/>
      <c r="F72" s="48"/>
      <c r="G72" s="48"/>
      <c r="H72" s="48">
        <f t="shared" si="186"/>
        <v>0</v>
      </c>
      <c r="I72" s="48">
        <f t="shared" si="187"/>
        <v>0</v>
      </c>
      <c r="J72" s="48">
        <f t="shared" si="188"/>
        <v>0</v>
      </c>
      <c r="K72" s="48"/>
      <c r="L72" s="48"/>
      <c r="M72" s="48"/>
      <c r="N72" s="48">
        <f t="shared" si="189"/>
        <v>0</v>
      </c>
      <c r="O72" s="48"/>
      <c r="P72" s="48"/>
      <c r="Q72" s="48"/>
      <c r="R72" s="48"/>
      <c r="S72" s="48"/>
      <c r="T72" s="48">
        <f t="shared" si="190"/>
        <v>0</v>
      </c>
      <c r="U72" s="48"/>
      <c r="V72" s="48">
        <f t="shared" ref="V72:V73" si="193">W72+X72+Y72+Z72+AA72</f>
        <v>0</v>
      </c>
      <c r="W72" s="48"/>
      <c r="X72" s="48"/>
      <c r="Y72" s="48"/>
      <c r="Z72" s="48"/>
      <c r="AA72" s="48"/>
      <c r="AB72" s="48">
        <f t="shared" si="191"/>
        <v>0</v>
      </c>
      <c r="AC72" s="48">
        <f t="shared" si="192"/>
        <v>0</v>
      </c>
      <c r="AE72" s="242"/>
      <c r="AF72" s="103"/>
    </row>
    <row r="73" spans="1:32" hidden="1" x14ac:dyDescent="0.2">
      <c r="A73" s="25" t="s">
        <v>375</v>
      </c>
      <c r="B73" s="26" t="s">
        <v>376</v>
      </c>
      <c r="C73" s="48"/>
      <c r="D73" s="48"/>
      <c r="E73" s="48"/>
      <c r="F73" s="48"/>
      <c r="G73" s="48"/>
      <c r="H73" s="48">
        <f t="shared" si="186"/>
        <v>0</v>
      </c>
      <c r="I73" s="48">
        <f t="shared" si="188"/>
        <v>0</v>
      </c>
      <c r="J73" s="48">
        <f t="shared" si="188"/>
        <v>0</v>
      </c>
      <c r="K73" s="48"/>
      <c r="L73" s="48"/>
      <c r="M73" s="48"/>
      <c r="N73" s="48">
        <f t="shared" si="189"/>
        <v>0</v>
      </c>
      <c r="O73" s="48"/>
      <c r="P73" s="48"/>
      <c r="Q73" s="48"/>
      <c r="R73" s="48"/>
      <c r="S73" s="48"/>
      <c r="T73" s="48">
        <f t="shared" si="190"/>
        <v>0</v>
      </c>
      <c r="U73" s="48"/>
      <c r="V73" s="48">
        <f t="shared" si="193"/>
        <v>0</v>
      </c>
      <c r="W73" s="48"/>
      <c r="X73" s="48"/>
      <c r="Y73" s="48"/>
      <c r="Z73" s="48"/>
      <c r="AA73" s="48"/>
      <c r="AB73" s="48">
        <f t="shared" si="191"/>
        <v>0</v>
      </c>
      <c r="AC73" s="48">
        <f t="shared" si="192"/>
        <v>0</v>
      </c>
      <c r="AE73" s="242"/>
      <c r="AF73" s="103"/>
    </row>
    <row r="74" spans="1:32" x14ac:dyDescent="0.2">
      <c r="A74" s="23">
        <v>1.08</v>
      </c>
      <c r="B74" s="24" t="s">
        <v>15</v>
      </c>
      <c r="C74" s="47">
        <f>C75+C76+C77+C78+C79+C80+C81+C82+C83</f>
        <v>42500</v>
      </c>
      <c r="D74" s="47">
        <f t="shared" ref="D74:I74" si="194">D75+D76+D77+D78+D79+D80+D81+D82+D83</f>
        <v>0</v>
      </c>
      <c r="E74" s="47">
        <f t="shared" si="194"/>
        <v>100</v>
      </c>
      <c r="F74" s="47">
        <f t="shared" si="194"/>
        <v>0</v>
      </c>
      <c r="G74" s="47">
        <f t="shared" si="194"/>
        <v>0</v>
      </c>
      <c r="H74" s="47">
        <f t="shared" si="194"/>
        <v>42600</v>
      </c>
      <c r="I74" s="47">
        <f t="shared" si="194"/>
        <v>18950</v>
      </c>
      <c r="J74" s="47">
        <f t="shared" ref="J74:AC74" si="195">J75+J76+J77+J78+J79+J80+J81+J82+J83</f>
        <v>7500</v>
      </c>
      <c r="K74" s="47">
        <f t="shared" si="195"/>
        <v>3300</v>
      </c>
      <c r="L74" s="47">
        <f t="shared" si="195"/>
        <v>4200</v>
      </c>
      <c r="M74" s="47">
        <f t="shared" si="195"/>
        <v>0</v>
      </c>
      <c r="N74" s="47">
        <f t="shared" si="195"/>
        <v>10950</v>
      </c>
      <c r="O74" s="47">
        <f t="shared" si="195"/>
        <v>1500</v>
      </c>
      <c r="P74" s="47">
        <f t="shared" ref="P74:R74" si="196">P75+P76+P77+P78+P79+P80+P81+P82+P83</f>
        <v>4000</v>
      </c>
      <c r="Q74" s="47">
        <f t="shared" si="196"/>
        <v>450</v>
      </c>
      <c r="R74" s="47">
        <f t="shared" si="196"/>
        <v>5000</v>
      </c>
      <c r="S74" s="47">
        <f t="shared" ref="S74" si="197">S75+S76+S77+S78+S79+S80+S81+S82+S83</f>
        <v>500</v>
      </c>
      <c r="T74" s="47">
        <f t="shared" si="195"/>
        <v>0</v>
      </c>
      <c r="U74" s="47">
        <f t="shared" ref="U74" si="198">U75+U76+U77+U78+U79+U80+U81+U82+U83</f>
        <v>0</v>
      </c>
      <c r="V74" s="47">
        <f t="shared" si="195"/>
        <v>0</v>
      </c>
      <c r="W74" s="47">
        <f t="shared" si="195"/>
        <v>0</v>
      </c>
      <c r="X74" s="47">
        <f t="shared" si="195"/>
        <v>0</v>
      </c>
      <c r="Y74" s="47">
        <f t="shared" si="195"/>
        <v>0</v>
      </c>
      <c r="Z74" s="47">
        <f t="shared" si="195"/>
        <v>0</v>
      </c>
      <c r="AA74" s="47">
        <f>AA75+AA76+AA77+AA78+AA79+AA80+AA81+AA82+AA83</f>
        <v>0</v>
      </c>
      <c r="AB74" s="47">
        <f t="shared" si="195"/>
        <v>18950</v>
      </c>
      <c r="AC74" s="47">
        <f t="shared" si="195"/>
        <v>61550</v>
      </c>
      <c r="AE74" s="242"/>
      <c r="AF74" s="103"/>
    </row>
    <row r="75" spans="1:32" x14ac:dyDescent="0.2">
      <c r="A75" s="25" t="s">
        <v>80</v>
      </c>
      <c r="B75" s="26" t="s">
        <v>93</v>
      </c>
      <c r="C75" s="48">
        <v>3000</v>
      </c>
      <c r="D75" s="48"/>
      <c r="E75" s="48"/>
      <c r="F75" s="48"/>
      <c r="G75" s="48"/>
      <c r="H75" s="48">
        <f t="shared" ref="H75:H83" si="199">C75+D75+E75+F75+G75</f>
        <v>3000</v>
      </c>
      <c r="I75" s="48">
        <f t="shared" ref="I75:I83" si="200">J75+N75+S75</f>
        <v>0</v>
      </c>
      <c r="J75" s="48">
        <f t="shared" ref="J75:J83" si="201">K75+L75+M75</f>
        <v>0</v>
      </c>
      <c r="K75" s="48"/>
      <c r="L75" s="48"/>
      <c r="M75" s="48"/>
      <c r="N75" s="48">
        <f t="shared" ref="N75:N83" si="202">O75+P75+Q75+R75</f>
        <v>0</v>
      </c>
      <c r="O75" s="48"/>
      <c r="P75" s="48"/>
      <c r="Q75" s="48"/>
      <c r="R75" s="48"/>
      <c r="S75" s="48"/>
      <c r="T75" s="48">
        <f t="shared" ref="T75:T83" si="203">U75+V75</f>
        <v>0</v>
      </c>
      <c r="U75" s="48"/>
      <c r="V75" s="48">
        <f t="shared" ref="V75:V83" si="204">W75+X75+Y75+Z75+AA75</f>
        <v>0</v>
      </c>
      <c r="W75" s="48"/>
      <c r="X75" s="48"/>
      <c r="Y75" s="48"/>
      <c r="Z75" s="48"/>
      <c r="AA75" s="48"/>
      <c r="AB75" s="48">
        <f t="shared" ref="AB75:AB83" si="205">I75+T75</f>
        <v>0</v>
      </c>
      <c r="AC75" s="48">
        <f t="shared" ref="AC75:AC83" si="206">H75+AB75</f>
        <v>3000</v>
      </c>
      <c r="AE75" s="242"/>
      <c r="AF75" s="103"/>
    </row>
    <row r="76" spans="1:32" x14ac:dyDescent="0.2">
      <c r="A76" s="25" t="s">
        <v>196</v>
      </c>
      <c r="B76" s="26" t="s">
        <v>503</v>
      </c>
      <c r="C76" s="48"/>
      <c r="D76" s="48"/>
      <c r="E76" s="48"/>
      <c r="F76" s="48"/>
      <c r="G76" s="48"/>
      <c r="H76" s="48">
        <f t="shared" si="199"/>
        <v>0</v>
      </c>
      <c r="I76" s="48">
        <f t="shared" si="200"/>
        <v>5000</v>
      </c>
      <c r="J76" s="48">
        <f t="shared" si="201"/>
        <v>0</v>
      </c>
      <c r="K76" s="48"/>
      <c r="L76" s="48"/>
      <c r="M76" s="48"/>
      <c r="N76" s="48">
        <f t="shared" si="202"/>
        <v>5000</v>
      </c>
      <c r="O76" s="48"/>
      <c r="P76" s="48"/>
      <c r="Q76" s="48"/>
      <c r="R76" s="48">
        <v>5000</v>
      </c>
      <c r="S76" s="48"/>
      <c r="T76" s="48">
        <f t="shared" si="203"/>
        <v>0</v>
      </c>
      <c r="U76" s="48"/>
      <c r="V76" s="48">
        <f t="shared" si="204"/>
        <v>0</v>
      </c>
      <c r="W76" s="48"/>
      <c r="X76" s="48"/>
      <c r="Y76" s="48"/>
      <c r="Z76" s="48"/>
      <c r="AA76" s="48"/>
      <c r="AB76" s="48">
        <f t="shared" si="205"/>
        <v>5000</v>
      </c>
      <c r="AC76" s="48">
        <f t="shared" si="206"/>
        <v>5000</v>
      </c>
      <c r="AE76" s="242"/>
      <c r="AF76" s="103"/>
    </row>
    <row r="77" spans="1:32" hidden="1" x14ac:dyDescent="0.2">
      <c r="A77" s="25" t="s">
        <v>197</v>
      </c>
      <c r="B77" s="26" t="s">
        <v>198</v>
      </c>
      <c r="C77" s="48"/>
      <c r="D77" s="48"/>
      <c r="E77" s="48"/>
      <c r="F77" s="48"/>
      <c r="G77" s="48"/>
      <c r="H77" s="48">
        <f t="shared" si="199"/>
        <v>0</v>
      </c>
      <c r="I77" s="48">
        <f t="shared" si="200"/>
        <v>0</v>
      </c>
      <c r="J77" s="48">
        <f t="shared" si="201"/>
        <v>0</v>
      </c>
      <c r="K77" s="48"/>
      <c r="L77" s="48"/>
      <c r="M77" s="48"/>
      <c r="N77" s="48">
        <f t="shared" si="202"/>
        <v>0</v>
      </c>
      <c r="O77" s="48"/>
      <c r="P77" s="48"/>
      <c r="Q77" s="48"/>
      <c r="R77" s="48"/>
      <c r="S77" s="48"/>
      <c r="T77" s="48">
        <f t="shared" si="203"/>
        <v>0</v>
      </c>
      <c r="U77" s="48"/>
      <c r="V77" s="48">
        <f t="shared" si="204"/>
        <v>0</v>
      </c>
      <c r="W77" s="48"/>
      <c r="X77" s="48"/>
      <c r="Y77" s="48"/>
      <c r="Z77" s="48"/>
      <c r="AA77" s="48"/>
      <c r="AB77" s="48">
        <f t="shared" si="205"/>
        <v>0</v>
      </c>
      <c r="AC77" s="48">
        <f t="shared" si="206"/>
        <v>0</v>
      </c>
      <c r="AE77" s="242"/>
      <c r="AF77" s="103"/>
    </row>
    <row r="78" spans="1:32" x14ac:dyDescent="0.2">
      <c r="A78" s="25" t="s">
        <v>113</v>
      </c>
      <c r="B78" s="26" t="s">
        <v>504</v>
      </c>
      <c r="C78" s="48"/>
      <c r="D78" s="48"/>
      <c r="E78" s="48"/>
      <c r="F78" s="48"/>
      <c r="G78" s="48"/>
      <c r="H78" s="48">
        <f t="shared" si="199"/>
        <v>0</v>
      </c>
      <c r="I78" s="48">
        <f t="shared" si="200"/>
        <v>5150</v>
      </c>
      <c r="J78" s="48">
        <f t="shared" si="201"/>
        <v>500</v>
      </c>
      <c r="K78" s="48">
        <v>300</v>
      </c>
      <c r="L78" s="48">
        <v>200</v>
      </c>
      <c r="M78" s="48"/>
      <c r="N78" s="48">
        <f t="shared" si="202"/>
        <v>4650</v>
      </c>
      <c r="O78" s="48">
        <v>1000</v>
      </c>
      <c r="P78" s="48">
        <v>3500</v>
      </c>
      <c r="Q78" s="48">
        <v>150</v>
      </c>
      <c r="R78" s="48"/>
      <c r="S78" s="48"/>
      <c r="T78" s="48">
        <f t="shared" si="203"/>
        <v>0</v>
      </c>
      <c r="U78" s="48"/>
      <c r="V78" s="48">
        <f t="shared" si="204"/>
        <v>0</v>
      </c>
      <c r="W78" s="48"/>
      <c r="X78" s="48"/>
      <c r="Y78" s="48"/>
      <c r="Z78" s="48"/>
      <c r="AA78" s="48"/>
      <c r="AB78" s="48">
        <f t="shared" si="205"/>
        <v>5150</v>
      </c>
      <c r="AC78" s="48">
        <f t="shared" si="206"/>
        <v>5150</v>
      </c>
      <c r="AE78" s="242"/>
      <c r="AF78" s="103"/>
    </row>
    <row r="79" spans="1:32" x14ac:dyDescent="0.2">
      <c r="A79" s="25" t="s">
        <v>81</v>
      </c>
      <c r="B79" s="26" t="s">
        <v>95</v>
      </c>
      <c r="C79" s="48">
        <v>32000</v>
      </c>
      <c r="D79" s="48"/>
      <c r="E79" s="48"/>
      <c r="F79" s="48"/>
      <c r="G79" s="48"/>
      <c r="H79" s="48">
        <f t="shared" si="199"/>
        <v>32000</v>
      </c>
      <c r="I79" s="48">
        <f t="shared" si="200"/>
        <v>500</v>
      </c>
      <c r="J79" s="48">
        <f t="shared" si="201"/>
        <v>0</v>
      </c>
      <c r="K79" s="48"/>
      <c r="L79" s="48"/>
      <c r="M79" s="48"/>
      <c r="N79" s="48">
        <f t="shared" si="202"/>
        <v>0</v>
      </c>
      <c r="O79" s="48"/>
      <c r="P79" s="48"/>
      <c r="Q79" s="48"/>
      <c r="R79" s="48"/>
      <c r="S79" s="48">
        <v>500</v>
      </c>
      <c r="T79" s="48">
        <f t="shared" si="203"/>
        <v>0</v>
      </c>
      <c r="U79" s="48"/>
      <c r="V79" s="48">
        <f t="shared" si="204"/>
        <v>0</v>
      </c>
      <c r="W79" s="48"/>
      <c r="X79" s="48"/>
      <c r="Y79" s="48"/>
      <c r="Z79" s="48"/>
      <c r="AA79" s="48"/>
      <c r="AB79" s="48">
        <f t="shared" si="205"/>
        <v>500</v>
      </c>
      <c r="AC79" s="48">
        <f t="shared" si="206"/>
        <v>32500</v>
      </c>
      <c r="AE79" s="242"/>
      <c r="AF79" s="103"/>
    </row>
    <row r="80" spans="1:32" hidden="1" x14ac:dyDescent="0.2">
      <c r="A80" s="27" t="s">
        <v>199</v>
      </c>
      <c r="B80" s="41" t="s">
        <v>507</v>
      </c>
      <c r="C80" s="48"/>
      <c r="D80" s="48"/>
      <c r="E80" s="48"/>
      <c r="F80" s="48"/>
      <c r="G80" s="48"/>
      <c r="H80" s="48">
        <f t="shared" si="199"/>
        <v>0</v>
      </c>
      <c r="I80" s="48">
        <f t="shared" si="200"/>
        <v>0</v>
      </c>
      <c r="J80" s="48">
        <f t="shared" si="201"/>
        <v>0</v>
      </c>
      <c r="K80" s="48"/>
      <c r="L80" s="48"/>
      <c r="M80" s="48"/>
      <c r="N80" s="48">
        <f t="shared" si="202"/>
        <v>0</v>
      </c>
      <c r="O80" s="48"/>
      <c r="P80" s="48"/>
      <c r="Q80" s="48"/>
      <c r="R80" s="48"/>
      <c r="S80" s="48"/>
      <c r="T80" s="48">
        <f t="shared" si="203"/>
        <v>0</v>
      </c>
      <c r="U80" s="48"/>
      <c r="V80" s="48">
        <f t="shared" si="204"/>
        <v>0</v>
      </c>
      <c r="W80" s="48"/>
      <c r="X80" s="48"/>
      <c r="Y80" s="48"/>
      <c r="Z80" s="48"/>
      <c r="AA80" s="48"/>
      <c r="AB80" s="48">
        <f t="shared" si="205"/>
        <v>0</v>
      </c>
      <c r="AC80" s="48">
        <f t="shared" si="206"/>
        <v>0</v>
      </c>
      <c r="AE80" s="242"/>
      <c r="AF80" s="103"/>
    </row>
    <row r="81" spans="1:32" x14ac:dyDescent="0.2">
      <c r="A81" s="25" t="s">
        <v>200</v>
      </c>
      <c r="B81" s="26" t="s">
        <v>505</v>
      </c>
      <c r="C81" s="48">
        <v>5500</v>
      </c>
      <c r="D81" s="48"/>
      <c r="E81" s="48"/>
      <c r="F81" s="48"/>
      <c r="G81" s="48"/>
      <c r="H81" s="48">
        <f t="shared" si="199"/>
        <v>5500</v>
      </c>
      <c r="I81" s="48">
        <f t="shared" si="200"/>
        <v>500</v>
      </c>
      <c r="J81" s="48">
        <f t="shared" si="201"/>
        <v>0</v>
      </c>
      <c r="K81" s="48"/>
      <c r="L81" s="48"/>
      <c r="M81" s="48"/>
      <c r="N81" s="48">
        <f t="shared" si="202"/>
        <v>500</v>
      </c>
      <c r="O81" s="48"/>
      <c r="P81" s="48">
        <v>500</v>
      </c>
      <c r="Q81" s="48"/>
      <c r="R81" s="48"/>
      <c r="S81" s="48"/>
      <c r="T81" s="48">
        <f t="shared" si="203"/>
        <v>0</v>
      </c>
      <c r="U81" s="48"/>
      <c r="V81" s="48">
        <f t="shared" si="204"/>
        <v>0</v>
      </c>
      <c r="W81" s="48"/>
      <c r="X81" s="48"/>
      <c r="Y81" s="48"/>
      <c r="Z81" s="48"/>
      <c r="AA81" s="48"/>
      <c r="AB81" s="48">
        <f t="shared" si="205"/>
        <v>500</v>
      </c>
      <c r="AC81" s="48">
        <f t="shared" si="206"/>
        <v>6000</v>
      </c>
      <c r="AE81" s="242"/>
      <c r="AF81" s="103"/>
    </row>
    <row r="82" spans="1:32" x14ac:dyDescent="0.2">
      <c r="A82" s="25" t="s">
        <v>201</v>
      </c>
      <c r="B82" s="26" t="s">
        <v>506</v>
      </c>
      <c r="C82" s="48">
        <v>1000</v>
      </c>
      <c r="D82" s="48"/>
      <c r="E82" s="48"/>
      <c r="F82" s="48"/>
      <c r="G82" s="48"/>
      <c r="H82" s="48">
        <f t="shared" si="199"/>
        <v>1000</v>
      </c>
      <c r="I82" s="48">
        <f t="shared" si="200"/>
        <v>0</v>
      </c>
      <c r="J82" s="48">
        <f t="shared" si="201"/>
        <v>0</v>
      </c>
      <c r="K82" s="48"/>
      <c r="L82" s="48"/>
      <c r="M82" s="48"/>
      <c r="N82" s="48">
        <f t="shared" si="202"/>
        <v>0</v>
      </c>
      <c r="O82" s="48"/>
      <c r="P82" s="48"/>
      <c r="Q82" s="48"/>
      <c r="R82" s="48"/>
      <c r="S82" s="48"/>
      <c r="T82" s="48">
        <f t="shared" si="203"/>
        <v>0</v>
      </c>
      <c r="U82" s="48"/>
      <c r="V82" s="48">
        <f t="shared" si="204"/>
        <v>0</v>
      </c>
      <c r="W82" s="48"/>
      <c r="X82" s="48"/>
      <c r="Y82" s="48"/>
      <c r="Z82" s="48"/>
      <c r="AA82" s="48"/>
      <c r="AB82" s="48">
        <f t="shared" si="205"/>
        <v>0</v>
      </c>
      <c r="AC82" s="48">
        <f t="shared" si="206"/>
        <v>1000</v>
      </c>
      <c r="AE82" s="242"/>
      <c r="AF82" s="103"/>
    </row>
    <row r="83" spans="1:32" x14ac:dyDescent="0.2">
      <c r="A83" s="25" t="s">
        <v>202</v>
      </c>
      <c r="B83" s="26" t="s">
        <v>203</v>
      </c>
      <c r="C83" s="48">
        <v>1000</v>
      </c>
      <c r="D83" s="48"/>
      <c r="E83" s="48">
        <v>100</v>
      </c>
      <c r="F83" s="48"/>
      <c r="G83" s="48"/>
      <c r="H83" s="48">
        <f t="shared" si="199"/>
        <v>1100</v>
      </c>
      <c r="I83" s="48">
        <f t="shared" si="200"/>
        <v>7800</v>
      </c>
      <c r="J83" s="48">
        <f t="shared" si="201"/>
        <v>7000</v>
      </c>
      <c r="K83" s="48">
        <v>3000</v>
      </c>
      <c r="L83" s="48">
        <v>4000</v>
      </c>
      <c r="M83" s="48"/>
      <c r="N83" s="48">
        <f t="shared" si="202"/>
        <v>800</v>
      </c>
      <c r="O83" s="48">
        <v>500</v>
      </c>
      <c r="P83" s="48"/>
      <c r="Q83" s="48">
        <v>300</v>
      </c>
      <c r="R83" s="48"/>
      <c r="S83" s="48"/>
      <c r="T83" s="48">
        <f t="shared" si="203"/>
        <v>0</v>
      </c>
      <c r="U83" s="48"/>
      <c r="V83" s="48">
        <f t="shared" si="204"/>
        <v>0</v>
      </c>
      <c r="W83" s="48"/>
      <c r="X83" s="48"/>
      <c r="Y83" s="48"/>
      <c r="Z83" s="48"/>
      <c r="AA83" s="48"/>
      <c r="AB83" s="48">
        <f t="shared" si="205"/>
        <v>7800</v>
      </c>
      <c r="AC83" s="48">
        <f t="shared" si="206"/>
        <v>8900</v>
      </c>
      <c r="AE83" s="242"/>
      <c r="AF83" s="103"/>
    </row>
    <row r="84" spans="1:32" s="156" customFormat="1" x14ac:dyDescent="0.2">
      <c r="A84" s="158">
        <v>1.0900000000000001</v>
      </c>
      <c r="B84" s="124" t="s">
        <v>357</v>
      </c>
      <c r="C84" s="47">
        <f>C85</f>
        <v>0</v>
      </c>
      <c r="D84" s="47">
        <f t="shared" ref="D84:H84" si="207">D85</f>
        <v>0</v>
      </c>
      <c r="E84" s="47">
        <f t="shared" si="207"/>
        <v>0</v>
      </c>
      <c r="F84" s="47">
        <f t="shared" si="207"/>
        <v>200</v>
      </c>
      <c r="G84" s="47">
        <f t="shared" si="207"/>
        <v>0</v>
      </c>
      <c r="H84" s="47">
        <f t="shared" si="207"/>
        <v>200</v>
      </c>
      <c r="I84" s="47">
        <f t="shared" ref="I84:AC84" si="208">I85</f>
        <v>0</v>
      </c>
      <c r="J84" s="47">
        <f t="shared" si="208"/>
        <v>0</v>
      </c>
      <c r="K84" s="47">
        <f t="shared" si="208"/>
        <v>0</v>
      </c>
      <c r="L84" s="47">
        <f t="shared" si="208"/>
        <v>0</v>
      </c>
      <c r="M84" s="47">
        <f t="shared" si="208"/>
        <v>0</v>
      </c>
      <c r="N84" s="47">
        <f t="shared" si="208"/>
        <v>0</v>
      </c>
      <c r="O84" s="47">
        <f t="shared" si="208"/>
        <v>0</v>
      </c>
      <c r="P84" s="47">
        <f t="shared" si="208"/>
        <v>0</v>
      </c>
      <c r="Q84" s="47">
        <f t="shared" si="208"/>
        <v>0</v>
      </c>
      <c r="R84" s="47">
        <f t="shared" si="208"/>
        <v>0</v>
      </c>
      <c r="S84" s="47">
        <f t="shared" si="208"/>
        <v>0</v>
      </c>
      <c r="T84" s="47">
        <f t="shared" si="208"/>
        <v>0</v>
      </c>
      <c r="U84" s="47">
        <f t="shared" si="208"/>
        <v>0</v>
      </c>
      <c r="V84" s="47">
        <f t="shared" si="208"/>
        <v>0</v>
      </c>
      <c r="W84" s="47">
        <f t="shared" si="208"/>
        <v>0</v>
      </c>
      <c r="X84" s="47">
        <f t="shared" si="208"/>
        <v>0</v>
      </c>
      <c r="Y84" s="47">
        <f t="shared" si="208"/>
        <v>0</v>
      </c>
      <c r="Z84" s="47">
        <f t="shared" si="208"/>
        <v>0</v>
      </c>
      <c r="AA84" s="47">
        <f t="shared" si="208"/>
        <v>0</v>
      </c>
      <c r="AB84" s="47">
        <f t="shared" si="208"/>
        <v>0</v>
      </c>
      <c r="AC84" s="47">
        <f t="shared" si="208"/>
        <v>200</v>
      </c>
      <c r="AE84" s="244"/>
      <c r="AF84" s="103"/>
    </row>
    <row r="85" spans="1:32" s="32" customFormat="1" x14ac:dyDescent="0.2">
      <c r="A85" s="27" t="s">
        <v>356</v>
      </c>
      <c r="B85" s="41" t="s">
        <v>358</v>
      </c>
      <c r="C85" s="48"/>
      <c r="D85" s="48"/>
      <c r="E85" s="48"/>
      <c r="F85" s="48">
        <v>200</v>
      </c>
      <c r="G85" s="48"/>
      <c r="H85" s="48">
        <f>C85+D85+E85+F85+G85</f>
        <v>200</v>
      </c>
      <c r="I85" s="48">
        <f>J85+N85+S85</f>
        <v>0</v>
      </c>
      <c r="J85" s="48">
        <f>K85+L85+M85</f>
        <v>0</v>
      </c>
      <c r="K85" s="48"/>
      <c r="L85" s="48"/>
      <c r="M85" s="48"/>
      <c r="N85" s="48">
        <f>O85+P85+Q85+R85</f>
        <v>0</v>
      </c>
      <c r="O85" s="48"/>
      <c r="P85" s="48"/>
      <c r="Q85" s="48"/>
      <c r="R85" s="48"/>
      <c r="S85" s="48"/>
      <c r="T85" s="48">
        <f>U85+V85</f>
        <v>0</v>
      </c>
      <c r="U85" s="48"/>
      <c r="V85" s="48">
        <f>W85+X85+Y85+Z85+AA85</f>
        <v>0</v>
      </c>
      <c r="W85" s="48"/>
      <c r="X85" s="48"/>
      <c r="Y85" s="48"/>
      <c r="Z85" s="48"/>
      <c r="AA85" s="48"/>
      <c r="AB85" s="48">
        <f>I85+T85</f>
        <v>0</v>
      </c>
      <c r="AC85" s="48">
        <f>H85+AB85</f>
        <v>200</v>
      </c>
      <c r="AE85" s="243"/>
      <c r="AF85" s="103"/>
    </row>
    <row r="86" spans="1:32" x14ac:dyDescent="0.2">
      <c r="A86" s="23">
        <v>1.99</v>
      </c>
      <c r="B86" s="24" t="s">
        <v>204</v>
      </c>
      <c r="C86" s="47">
        <f>C87+C88+C89+C90</f>
        <v>3250</v>
      </c>
      <c r="D86" s="47">
        <f t="shared" ref="D86:I86" si="209">D87+D88+D89+D90</f>
        <v>0</v>
      </c>
      <c r="E86" s="47">
        <f t="shared" si="209"/>
        <v>0</v>
      </c>
      <c r="F86" s="47">
        <f t="shared" si="209"/>
        <v>0</v>
      </c>
      <c r="G86" s="47">
        <f t="shared" si="209"/>
        <v>0</v>
      </c>
      <c r="H86" s="47">
        <f t="shared" si="209"/>
        <v>3250</v>
      </c>
      <c r="I86" s="47">
        <f t="shared" si="209"/>
        <v>1100</v>
      </c>
      <c r="J86" s="47">
        <f t="shared" ref="J86:AC86" si="210">J87+J88+J89+J90</f>
        <v>100</v>
      </c>
      <c r="K86" s="47">
        <f t="shared" si="210"/>
        <v>100</v>
      </c>
      <c r="L86" s="47">
        <f t="shared" si="210"/>
        <v>0</v>
      </c>
      <c r="M86" s="47">
        <f t="shared" si="210"/>
        <v>0</v>
      </c>
      <c r="N86" s="47">
        <f t="shared" si="210"/>
        <v>0</v>
      </c>
      <c r="O86" s="47">
        <f t="shared" si="210"/>
        <v>0</v>
      </c>
      <c r="P86" s="47">
        <f t="shared" ref="P86:R86" si="211">P87+P88+P89+P90</f>
        <v>0</v>
      </c>
      <c r="Q86" s="47">
        <f t="shared" si="211"/>
        <v>0</v>
      </c>
      <c r="R86" s="47">
        <f t="shared" si="211"/>
        <v>0</v>
      </c>
      <c r="S86" s="47">
        <f t="shared" ref="S86" si="212">S87+S88+S89+S90</f>
        <v>1000</v>
      </c>
      <c r="T86" s="47">
        <f t="shared" si="210"/>
        <v>0</v>
      </c>
      <c r="U86" s="47">
        <f t="shared" ref="U86" si="213">U87+U88+U89+U90</f>
        <v>0</v>
      </c>
      <c r="V86" s="47">
        <f t="shared" si="210"/>
        <v>0</v>
      </c>
      <c r="W86" s="47">
        <f t="shared" si="210"/>
        <v>0</v>
      </c>
      <c r="X86" s="47">
        <f t="shared" si="210"/>
        <v>0</v>
      </c>
      <c r="Y86" s="47">
        <f t="shared" si="210"/>
        <v>0</v>
      </c>
      <c r="Z86" s="47">
        <f t="shared" si="210"/>
        <v>0</v>
      </c>
      <c r="AA86" s="47">
        <f>AA87+AA88+AA89+AA90</f>
        <v>0</v>
      </c>
      <c r="AB86" s="47">
        <f t="shared" si="210"/>
        <v>1100</v>
      </c>
      <c r="AC86" s="47">
        <f t="shared" si="210"/>
        <v>4350</v>
      </c>
      <c r="AE86" s="242"/>
      <c r="AF86" s="103"/>
    </row>
    <row r="87" spans="1:32" x14ac:dyDescent="0.2">
      <c r="A87" s="42" t="s">
        <v>205</v>
      </c>
      <c r="B87" s="43" t="s">
        <v>206</v>
      </c>
      <c r="C87" s="48">
        <v>500</v>
      </c>
      <c r="D87" s="48"/>
      <c r="E87" s="48"/>
      <c r="F87" s="48"/>
      <c r="G87" s="48"/>
      <c r="H87" s="48">
        <f t="shared" ref="H87:H90" si="214">C87+D87+E87+F87+G87</f>
        <v>500</v>
      </c>
      <c r="I87" s="48">
        <f t="shared" ref="I87:I90" si="215">J87+N87+S87</f>
        <v>0</v>
      </c>
      <c r="J87" s="48">
        <f t="shared" ref="J87:J90" si="216">K87+L87+M87</f>
        <v>0</v>
      </c>
      <c r="K87" s="48"/>
      <c r="L87" s="48"/>
      <c r="M87" s="48"/>
      <c r="N87" s="48">
        <f t="shared" ref="N87:N90" si="217">O87+P87+Q87+R87</f>
        <v>0</v>
      </c>
      <c r="O87" s="48"/>
      <c r="P87" s="48"/>
      <c r="Q87" s="48"/>
      <c r="R87" s="48"/>
      <c r="S87" s="48"/>
      <c r="T87" s="48">
        <f t="shared" ref="T87:T90" si="218">U87+V87</f>
        <v>0</v>
      </c>
      <c r="U87" s="48"/>
      <c r="V87" s="48">
        <f t="shared" ref="V87:V90" si="219">W87+X87+Y87+Z87+AA87</f>
        <v>0</v>
      </c>
      <c r="W87" s="48"/>
      <c r="X87" s="48"/>
      <c r="Y87" s="48"/>
      <c r="Z87" s="48"/>
      <c r="AA87" s="48"/>
      <c r="AB87" s="48">
        <f t="shared" ref="AB87:AB90" si="220">I87+T87</f>
        <v>0</v>
      </c>
      <c r="AC87" s="48">
        <f t="shared" ref="AC87:AC90" si="221">H87+AB87</f>
        <v>500</v>
      </c>
      <c r="AE87" s="242"/>
      <c r="AF87" s="103"/>
    </row>
    <row r="88" spans="1:32" s="32" customFormat="1" hidden="1" x14ac:dyDescent="0.2">
      <c r="A88" s="157" t="s">
        <v>30</v>
      </c>
      <c r="B88" s="125" t="s">
        <v>31</v>
      </c>
      <c r="C88" s="48"/>
      <c r="D88" s="48"/>
      <c r="E88" s="48"/>
      <c r="F88" s="48"/>
      <c r="G88" s="48"/>
      <c r="H88" s="48">
        <f t="shared" si="214"/>
        <v>0</v>
      </c>
      <c r="I88" s="48">
        <f t="shared" si="215"/>
        <v>0</v>
      </c>
      <c r="J88" s="48">
        <f t="shared" si="216"/>
        <v>0</v>
      </c>
      <c r="K88" s="48"/>
      <c r="L88" s="48"/>
      <c r="M88" s="48"/>
      <c r="N88" s="48">
        <f t="shared" si="217"/>
        <v>0</v>
      </c>
      <c r="O88" s="48"/>
      <c r="P88" s="48"/>
      <c r="Q88" s="48"/>
      <c r="R88" s="48"/>
      <c r="S88" s="48"/>
      <c r="T88" s="48">
        <f t="shared" si="218"/>
        <v>0</v>
      </c>
      <c r="U88" s="48"/>
      <c r="V88" s="48">
        <f t="shared" si="219"/>
        <v>0</v>
      </c>
      <c r="W88" s="48"/>
      <c r="X88" s="48"/>
      <c r="Y88" s="48"/>
      <c r="Z88" s="48"/>
      <c r="AA88" s="48"/>
      <c r="AB88" s="48">
        <f t="shared" si="220"/>
        <v>0</v>
      </c>
      <c r="AC88" s="48">
        <f t="shared" si="221"/>
        <v>0</v>
      </c>
      <c r="AE88" s="243"/>
      <c r="AF88" s="103"/>
    </row>
    <row r="89" spans="1:32" x14ac:dyDescent="0.2">
      <c r="A89" s="42" t="s">
        <v>207</v>
      </c>
      <c r="B89" s="43" t="s">
        <v>208</v>
      </c>
      <c r="C89" s="48">
        <v>2750</v>
      </c>
      <c r="D89" s="48"/>
      <c r="E89" s="48"/>
      <c r="F89" s="48"/>
      <c r="G89" s="48"/>
      <c r="H89" s="48">
        <f t="shared" si="214"/>
        <v>2750</v>
      </c>
      <c r="I89" s="48">
        <f t="shared" si="215"/>
        <v>1000</v>
      </c>
      <c r="J89" s="48">
        <f t="shared" si="216"/>
        <v>0</v>
      </c>
      <c r="K89" s="48"/>
      <c r="L89" s="48"/>
      <c r="M89" s="48"/>
      <c r="N89" s="48">
        <f t="shared" si="217"/>
        <v>0</v>
      </c>
      <c r="O89" s="48"/>
      <c r="P89" s="48"/>
      <c r="Q89" s="48"/>
      <c r="R89" s="48"/>
      <c r="S89" s="48">
        <v>1000</v>
      </c>
      <c r="T89" s="48">
        <f t="shared" si="218"/>
        <v>0</v>
      </c>
      <c r="U89" s="48"/>
      <c r="V89" s="48">
        <f t="shared" si="219"/>
        <v>0</v>
      </c>
      <c r="W89" s="48"/>
      <c r="X89" s="48"/>
      <c r="Y89" s="48"/>
      <c r="Z89" s="48"/>
      <c r="AA89" s="48"/>
      <c r="AB89" s="48">
        <f t="shared" si="220"/>
        <v>1000</v>
      </c>
      <c r="AC89" s="48">
        <f t="shared" si="221"/>
        <v>3750</v>
      </c>
      <c r="AE89" s="242"/>
      <c r="AF89" s="103"/>
    </row>
    <row r="90" spans="1:32" x14ac:dyDescent="0.2">
      <c r="A90" s="25" t="s">
        <v>209</v>
      </c>
      <c r="B90" s="26" t="s">
        <v>210</v>
      </c>
      <c r="C90" s="48"/>
      <c r="D90" s="48"/>
      <c r="E90" s="48"/>
      <c r="F90" s="48"/>
      <c r="G90" s="48"/>
      <c r="H90" s="48">
        <f t="shared" si="214"/>
        <v>0</v>
      </c>
      <c r="I90" s="48">
        <f t="shared" si="215"/>
        <v>100</v>
      </c>
      <c r="J90" s="48">
        <f t="shared" si="216"/>
        <v>100</v>
      </c>
      <c r="K90" s="48">
        <v>100</v>
      </c>
      <c r="L90" s="48"/>
      <c r="M90" s="48"/>
      <c r="N90" s="48">
        <f t="shared" si="217"/>
        <v>0</v>
      </c>
      <c r="O90" s="48"/>
      <c r="P90" s="48"/>
      <c r="Q90" s="48"/>
      <c r="R90" s="48"/>
      <c r="S90" s="48"/>
      <c r="T90" s="48">
        <f t="shared" si="218"/>
        <v>0</v>
      </c>
      <c r="U90" s="48"/>
      <c r="V90" s="48">
        <f t="shared" si="219"/>
        <v>0</v>
      </c>
      <c r="W90" s="48"/>
      <c r="X90" s="48"/>
      <c r="Y90" s="48"/>
      <c r="Z90" s="48"/>
      <c r="AA90" s="48"/>
      <c r="AB90" s="48">
        <f t="shared" si="220"/>
        <v>100</v>
      </c>
      <c r="AC90" s="48">
        <f t="shared" si="221"/>
        <v>100</v>
      </c>
      <c r="AE90" s="242"/>
      <c r="AF90" s="103"/>
    </row>
    <row r="91" spans="1:32" x14ac:dyDescent="0.2">
      <c r="A91" s="23">
        <v>2</v>
      </c>
      <c r="B91" s="24" t="s">
        <v>96</v>
      </c>
      <c r="C91" s="47">
        <f>C92+C98+C103+C111+C114+C117</f>
        <v>27664.799999999999</v>
      </c>
      <c r="D91" s="47">
        <f t="shared" ref="D91:I91" si="222">D92+D98+D103+D111+D114+D117</f>
        <v>100</v>
      </c>
      <c r="E91" s="47">
        <f t="shared" si="222"/>
        <v>150</v>
      </c>
      <c r="F91" s="47">
        <f t="shared" si="222"/>
        <v>0</v>
      </c>
      <c r="G91" s="47">
        <f t="shared" si="222"/>
        <v>717.5</v>
      </c>
      <c r="H91" s="47">
        <f t="shared" si="222"/>
        <v>28632.3</v>
      </c>
      <c r="I91" s="47">
        <f t="shared" si="222"/>
        <v>171753</v>
      </c>
      <c r="J91" s="47">
        <f t="shared" ref="J91:AC91" si="223">J92+J98+J103+J111+J114+J117</f>
        <v>20903</v>
      </c>
      <c r="K91" s="47">
        <f t="shared" si="223"/>
        <v>9500</v>
      </c>
      <c r="L91" s="47">
        <f t="shared" si="223"/>
        <v>7550</v>
      </c>
      <c r="M91" s="47">
        <f t="shared" si="223"/>
        <v>0</v>
      </c>
      <c r="N91" s="47">
        <f t="shared" si="223"/>
        <v>135850</v>
      </c>
      <c r="O91" s="47">
        <f t="shared" si="223"/>
        <v>19200</v>
      </c>
      <c r="P91" s="47">
        <f t="shared" ref="P91:R91" si="224">P92+P98+P103+P111+P114+P117</f>
        <v>13250</v>
      </c>
      <c r="Q91" s="47">
        <f t="shared" si="224"/>
        <v>10400</v>
      </c>
      <c r="R91" s="47">
        <f t="shared" si="224"/>
        <v>3300</v>
      </c>
      <c r="S91" s="47">
        <f t="shared" ref="S91" si="225">S92+S98+S103+S111+S114+S117</f>
        <v>15000</v>
      </c>
      <c r="T91" s="47">
        <f t="shared" si="223"/>
        <v>22350</v>
      </c>
      <c r="U91" s="47">
        <f t="shared" ref="U91" si="226">U92+U98+U103+U111+U114+U117</f>
        <v>800</v>
      </c>
      <c r="V91" s="47">
        <f t="shared" si="223"/>
        <v>21550</v>
      </c>
      <c r="W91" s="47">
        <f t="shared" si="223"/>
        <v>0</v>
      </c>
      <c r="X91" s="47">
        <f t="shared" si="223"/>
        <v>0</v>
      </c>
      <c r="Y91" s="47">
        <f t="shared" si="223"/>
        <v>0</v>
      </c>
      <c r="Z91" s="47">
        <f t="shared" si="223"/>
        <v>0</v>
      </c>
      <c r="AA91" s="47">
        <f>AA92+AA98+AA103+AA111+AA114+AA117</f>
        <v>0</v>
      </c>
      <c r="AB91" s="47">
        <f t="shared" si="223"/>
        <v>194103</v>
      </c>
      <c r="AC91" s="47">
        <f t="shared" si="223"/>
        <v>222735.3</v>
      </c>
      <c r="AE91" s="242"/>
      <c r="AF91" s="103"/>
    </row>
    <row r="92" spans="1:32" x14ac:dyDescent="0.2">
      <c r="A92" s="23">
        <v>2.0099999999999998</v>
      </c>
      <c r="B92" s="24" t="s">
        <v>16</v>
      </c>
      <c r="C92" s="47">
        <f>C93+C94+C95+C96+C97</f>
        <v>11900</v>
      </c>
      <c r="D92" s="47">
        <f t="shared" ref="D92:I92" si="227">D93+D94+D95+D96+D97</f>
        <v>100</v>
      </c>
      <c r="E92" s="47">
        <f t="shared" si="227"/>
        <v>0</v>
      </c>
      <c r="F92" s="47">
        <f t="shared" si="227"/>
        <v>0</v>
      </c>
      <c r="G92" s="47">
        <f t="shared" si="227"/>
        <v>0</v>
      </c>
      <c r="H92" s="47">
        <f t="shared" si="227"/>
        <v>12000</v>
      </c>
      <c r="I92" s="47">
        <f t="shared" si="227"/>
        <v>83653</v>
      </c>
      <c r="J92" s="47">
        <f t="shared" ref="J92:AC92" si="228">J93+J94+J95+J96+J97</f>
        <v>7853</v>
      </c>
      <c r="K92" s="47">
        <f t="shared" si="228"/>
        <v>1500</v>
      </c>
      <c r="L92" s="47">
        <f t="shared" si="228"/>
        <v>2500</v>
      </c>
      <c r="M92" s="47">
        <f t="shared" si="228"/>
        <v>0</v>
      </c>
      <c r="N92" s="47">
        <f t="shared" si="228"/>
        <v>60800</v>
      </c>
      <c r="O92" s="47">
        <f t="shared" si="228"/>
        <v>6250</v>
      </c>
      <c r="P92" s="47">
        <f t="shared" ref="P92:R92" si="229">P93+P94+P95+P96+P97</f>
        <v>9000</v>
      </c>
      <c r="Q92" s="47">
        <f t="shared" si="229"/>
        <v>2300</v>
      </c>
      <c r="R92" s="47">
        <f t="shared" si="229"/>
        <v>550</v>
      </c>
      <c r="S92" s="47">
        <f t="shared" ref="S92" si="230">S93+S94+S95+S96+S97</f>
        <v>15000</v>
      </c>
      <c r="T92" s="47">
        <f t="shared" si="228"/>
        <v>22350</v>
      </c>
      <c r="U92" s="47">
        <f t="shared" ref="U92" si="231">U93+U94+U95+U96+U97</f>
        <v>800</v>
      </c>
      <c r="V92" s="47">
        <f t="shared" si="228"/>
        <v>21550</v>
      </c>
      <c r="W92" s="47">
        <f t="shared" si="228"/>
        <v>0</v>
      </c>
      <c r="X92" s="47">
        <f t="shared" si="228"/>
        <v>0</v>
      </c>
      <c r="Y92" s="47">
        <f t="shared" si="228"/>
        <v>0</v>
      </c>
      <c r="Z92" s="47">
        <f t="shared" si="228"/>
        <v>0</v>
      </c>
      <c r="AA92" s="47">
        <f>AA93+AA94+AA95+AA96+AA97</f>
        <v>0</v>
      </c>
      <c r="AB92" s="47">
        <f t="shared" si="228"/>
        <v>106003</v>
      </c>
      <c r="AC92" s="47">
        <f t="shared" si="228"/>
        <v>118003</v>
      </c>
      <c r="AE92" s="242"/>
      <c r="AF92" s="103"/>
    </row>
    <row r="93" spans="1:32" x14ac:dyDescent="0.2">
      <c r="A93" s="25" t="s">
        <v>82</v>
      </c>
      <c r="B93" s="26" t="s">
        <v>97</v>
      </c>
      <c r="C93" s="48">
        <f>3000-D93-E93-F93-G93</f>
        <v>2900</v>
      </c>
      <c r="D93" s="48">
        <v>100</v>
      </c>
      <c r="E93" s="48"/>
      <c r="F93" s="48"/>
      <c r="G93" s="48"/>
      <c r="H93" s="48">
        <f t="shared" ref="H93:H97" si="232">C93+D93+E93+F93+G93</f>
        <v>3000</v>
      </c>
      <c r="I93" s="48">
        <f>J93+N93+S93</f>
        <v>62053</v>
      </c>
      <c r="J93" s="48">
        <f>K93+L93+M93+3853</f>
        <v>4353</v>
      </c>
      <c r="K93" s="48">
        <v>500</v>
      </c>
      <c r="L93" s="48"/>
      <c r="M93" s="48"/>
      <c r="N93" s="48">
        <f>O93+P93+Q93+R93+(39700)</f>
        <v>42700</v>
      </c>
      <c r="O93" s="48"/>
      <c r="P93" s="48">
        <v>3000</v>
      </c>
      <c r="Q93" s="48"/>
      <c r="R93" s="48"/>
      <c r="S93" s="48">
        <v>15000</v>
      </c>
      <c r="T93" s="48">
        <f t="shared" ref="T93:T97" si="233">U93+V93</f>
        <v>19850</v>
      </c>
      <c r="U93" s="48">
        <f>300+500</f>
        <v>800</v>
      </c>
      <c r="V93" s="48">
        <f>W93+X93+Y93+Z93+AA93+(19050)</f>
        <v>19050</v>
      </c>
      <c r="W93" s="48"/>
      <c r="X93" s="48"/>
      <c r="Y93" s="48"/>
      <c r="Z93" s="48"/>
      <c r="AA93" s="48"/>
      <c r="AB93" s="48">
        <f t="shared" ref="AB93:AB97" si="234">I93+T93</f>
        <v>81903</v>
      </c>
      <c r="AC93" s="48">
        <f t="shared" ref="AC93:AC97" si="235">H93+AB93</f>
        <v>84903</v>
      </c>
      <c r="AE93" s="242"/>
      <c r="AF93" s="103"/>
    </row>
    <row r="94" spans="1:32" hidden="1" x14ac:dyDescent="0.2">
      <c r="A94" s="25" t="s">
        <v>211</v>
      </c>
      <c r="B94" s="26" t="s">
        <v>17</v>
      </c>
      <c r="C94" s="48"/>
      <c r="D94" s="48"/>
      <c r="E94" s="48"/>
      <c r="F94" s="48"/>
      <c r="G94" s="48"/>
      <c r="H94" s="48">
        <f t="shared" si="232"/>
        <v>0</v>
      </c>
      <c r="I94" s="48">
        <f t="shared" ref="I94:I97" si="236">J94+N94+S94</f>
        <v>0</v>
      </c>
      <c r="J94" s="48">
        <f t="shared" ref="J94:J97" si="237">K94+L94+M94</f>
        <v>0</v>
      </c>
      <c r="K94" s="48"/>
      <c r="L94" s="48"/>
      <c r="M94" s="48"/>
      <c r="N94" s="48">
        <f t="shared" ref="N94:N97" si="238">O94+P94+Q94+R94</f>
        <v>0</v>
      </c>
      <c r="O94" s="48"/>
      <c r="P94" s="48"/>
      <c r="Q94" s="48"/>
      <c r="R94" s="48"/>
      <c r="S94" s="48"/>
      <c r="T94" s="48">
        <f t="shared" si="233"/>
        <v>0</v>
      </c>
      <c r="U94" s="48"/>
      <c r="V94" s="48">
        <f t="shared" ref="V94:V96" si="239">W94+X94+Y94+Z94+AA94</f>
        <v>0</v>
      </c>
      <c r="W94" s="48"/>
      <c r="X94" s="48"/>
      <c r="Y94" s="48"/>
      <c r="Z94" s="48"/>
      <c r="AA94" s="48"/>
      <c r="AB94" s="48">
        <f t="shared" si="234"/>
        <v>0</v>
      </c>
      <c r="AC94" s="48">
        <f t="shared" si="235"/>
        <v>0</v>
      </c>
      <c r="AE94" s="242"/>
      <c r="AF94" s="103"/>
    </row>
    <row r="95" spans="1:32" x14ac:dyDescent="0.2">
      <c r="A95" s="25" t="s">
        <v>212</v>
      </c>
      <c r="B95" s="26" t="s">
        <v>213</v>
      </c>
      <c r="C95" s="48"/>
      <c r="D95" s="48"/>
      <c r="E95" s="48"/>
      <c r="F95" s="48"/>
      <c r="G95" s="48"/>
      <c r="H95" s="48">
        <f t="shared" si="232"/>
        <v>0</v>
      </c>
      <c r="I95" s="48">
        <f t="shared" si="236"/>
        <v>3000</v>
      </c>
      <c r="J95" s="48">
        <f t="shared" si="237"/>
        <v>0</v>
      </c>
      <c r="K95" s="48"/>
      <c r="L95" s="48"/>
      <c r="M95" s="48"/>
      <c r="N95" s="48">
        <f>O95+P95+Q95+R95+(3000)</f>
        <v>3000</v>
      </c>
      <c r="O95" s="48"/>
      <c r="P95" s="48"/>
      <c r="Q95" s="48"/>
      <c r="R95" s="48"/>
      <c r="S95" s="48"/>
      <c r="T95" s="48">
        <f t="shared" si="233"/>
        <v>0</v>
      </c>
      <c r="U95" s="48"/>
      <c r="V95" s="48">
        <f t="shared" si="239"/>
        <v>0</v>
      </c>
      <c r="W95" s="48"/>
      <c r="X95" s="48"/>
      <c r="Y95" s="48"/>
      <c r="Z95" s="48"/>
      <c r="AA95" s="48"/>
      <c r="AB95" s="48">
        <f t="shared" si="234"/>
        <v>3000</v>
      </c>
      <c r="AC95" s="48">
        <f t="shared" si="235"/>
        <v>3000</v>
      </c>
      <c r="AE95" s="242"/>
      <c r="AF95" s="103"/>
    </row>
    <row r="96" spans="1:32" x14ac:dyDescent="0.2">
      <c r="A96" s="25" t="s">
        <v>83</v>
      </c>
      <c r="B96" s="26" t="s">
        <v>98</v>
      </c>
      <c r="C96" s="48">
        <f>9000</f>
        <v>9000</v>
      </c>
      <c r="D96" s="48"/>
      <c r="E96" s="48"/>
      <c r="F96" s="48"/>
      <c r="G96" s="48"/>
      <c r="H96" s="48">
        <f t="shared" si="232"/>
        <v>9000</v>
      </c>
      <c r="I96" s="48">
        <f t="shared" si="236"/>
        <v>1100</v>
      </c>
      <c r="J96" s="48">
        <f t="shared" si="237"/>
        <v>0</v>
      </c>
      <c r="K96" s="48"/>
      <c r="L96" s="48"/>
      <c r="M96" s="48"/>
      <c r="N96" s="48">
        <f t="shared" si="238"/>
        <v>1100</v>
      </c>
      <c r="O96" s="48">
        <v>750</v>
      </c>
      <c r="P96" s="48"/>
      <c r="Q96" s="48">
        <v>300</v>
      </c>
      <c r="R96" s="48">
        <v>50</v>
      </c>
      <c r="S96" s="48"/>
      <c r="T96" s="48">
        <f t="shared" si="233"/>
        <v>0</v>
      </c>
      <c r="U96" s="48"/>
      <c r="V96" s="48">
        <f t="shared" si="239"/>
        <v>0</v>
      </c>
      <c r="W96" s="48"/>
      <c r="X96" s="48"/>
      <c r="Y96" s="48"/>
      <c r="Z96" s="48"/>
      <c r="AA96" s="48"/>
      <c r="AB96" s="48">
        <f t="shared" si="234"/>
        <v>1100</v>
      </c>
      <c r="AC96" s="48">
        <f t="shared" si="235"/>
        <v>10100</v>
      </c>
      <c r="AE96" s="242"/>
      <c r="AF96" s="103"/>
    </row>
    <row r="97" spans="1:32" x14ac:dyDescent="0.2">
      <c r="A97" s="25" t="s">
        <v>114</v>
      </c>
      <c r="B97" s="26" t="s">
        <v>127</v>
      </c>
      <c r="C97" s="48"/>
      <c r="D97" s="48"/>
      <c r="E97" s="48"/>
      <c r="F97" s="48"/>
      <c r="G97" s="48"/>
      <c r="H97" s="48">
        <f t="shared" si="232"/>
        <v>0</v>
      </c>
      <c r="I97" s="48">
        <f t="shared" si="236"/>
        <v>17500</v>
      </c>
      <c r="J97" s="48">
        <f t="shared" si="237"/>
        <v>3500</v>
      </c>
      <c r="K97" s="48">
        <v>1000</v>
      </c>
      <c r="L97" s="48">
        <v>2500</v>
      </c>
      <c r="M97" s="48"/>
      <c r="N97" s="48">
        <f t="shared" si="238"/>
        <v>14000</v>
      </c>
      <c r="O97" s="48">
        <v>5500</v>
      </c>
      <c r="P97" s="48">
        <v>6000</v>
      </c>
      <c r="Q97" s="48">
        <v>2000</v>
      </c>
      <c r="R97" s="48">
        <v>500</v>
      </c>
      <c r="S97" s="48"/>
      <c r="T97" s="48">
        <f t="shared" si="233"/>
        <v>2500</v>
      </c>
      <c r="U97" s="48"/>
      <c r="V97" s="48">
        <f>W97+X97+Y97+Z97+AA97+2500</f>
        <v>2500</v>
      </c>
      <c r="W97" s="48"/>
      <c r="X97" s="48"/>
      <c r="Y97" s="48"/>
      <c r="Z97" s="48"/>
      <c r="AA97" s="48"/>
      <c r="AB97" s="48">
        <f t="shared" si="234"/>
        <v>20000</v>
      </c>
      <c r="AC97" s="48">
        <f t="shared" si="235"/>
        <v>20000</v>
      </c>
      <c r="AE97" s="242"/>
      <c r="AF97" s="103"/>
    </row>
    <row r="98" spans="1:32" x14ac:dyDescent="0.2">
      <c r="A98" s="23">
        <v>2.02</v>
      </c>
      <c r="B98" s="24" t="s">
        <v>99</v>
      </c>
      <c r="C98" s="47">
        <f>C99+C100+C101+C102</f>
        <v>0</v>
      </c>
      <c r="D98" s="47">
        <f t="shared" ref="D98:I98" si="240">D99+D100+D101+D102</f>
        <v>0</v>
      </c>
      <c r="E98" s="47">
        <f t="shared" si="240"/>
        <v>0</v>
      </c>
      <c r="F98" s="47">
        <f t="shared" si="240"/>
        <v>0</v>
      </c>
      <c r="G98" s="47">
        <f t="shared" si="240"/>
        <v>0</v>
      </c>
      <c r="H98" s="47">
        <f t="shared" si="240"/>
        <v>0</v>
      </c>
      <c r="I98" s="47">
        <f t="shared" si="240"/>
        <v>47350</v>
      </c>
      <c r="J98" s="47">
        <f t="shared" ref="J98:AC98" si="241">J99+J100+J101+J102</f>
        <v>150</v>
      </c>
      <c r="K98" s="47">
        <f t="shared" si="241"/>
        <v>0</v>
      </c>
      <c r="L98" s="47">
        <f t="shared" si="241"/>
        <v>150</v>
      </c>
      <c r="M98" s="47">
        <f t="shared" si="241"/>
        <v>0</v>
      </c>
      <c r="N98" s="47">
        <f t="shared" si="241"/>
        <v>47200</v>
      </c>
      <c r="O98" s="47">
        <f t="shared" si="241"/>
        <v>0</v>
      </c>
      <c r="P98" s="47">
        <f t="shared" ref="P98:R98" si="242">P99+P100+P101+P102</f>
        <v>0</v>
      </c>
      <c r="Q98" s="47">
        <f t="shared" si="242"/>
        <v>200</v>
      </c>
      <c r="R98" s="47">
        <f t="shared" si="242"/>
        <v>0</v>
      </c>
      <c r="S98" s="47">
        <f t="shared" ref="S98" si="243">S99+S100+S101+S102</f>
        <v>0</v>
      </c>
      <c r="T98" s="47">
        <f t="shared" si="241"/>
        <v>0</v>
      </c>
      <c r="U98" s="47">
        <f t="shared" ref="U98" si="244">U99+U100+U101+U102</f>
        <v>0</v>
      </c>
      <c r="V98" s="47">
        <f t="shared" si="241"/>
        <v>0</v>
      </c>
      <c r="W98" s="47">
        <f t="shared" si="241"/>
        <v>0</v>
      </c>
      <c r="X98" s="47">
        <f t="shared" si="241"/>
        <v>0</v>
      </c>
      <c r="Y98" s="47">
        <f t="shared" si="241"/>
        <v>0</v>
      </c>
      <c r="Z98" s="47">
        <f t="shared" si="241"/>
        <v>0</v>
      </c>
      <c r="AA98" s="47">
        <f>AA99+AA100+AA101+AA102</f>
        <v>0</v>
      </c>
      <c r="AB98" s="47">
        <f t="shared" si="241"/>
        <v>47350</v>
      </c>
      <c r="AC98" s="47">
        <f t="shared" si="241"/>
        <v>47350</v>
      </c>
      <c r="AE98" s="242"/>
      <c r="AF98" s="103"/>
    </row>
    <row r="99" spans="1:32" hidden="1" x14ac:dyDescent="0.2">
      <c r="A99" s="25" t="s">
        <v>214</v>
      </c>
      <c r="B99" s="26" t="s">
        <v>215</v>
      </c>
      <c r="C99" s="48"/>
      <c r="D99" s="48"/>
      <c r="E99" s="48"/>
      <c r="F99" s="48"/>
      <c r="G99" s="48"/>
      <c r="H99" s="48">
        <f t="shared" ref="H99:H102" si="245">C99+D99+E99+F99+G99</f>
        <v>0</v>
      </c>
      <c r="I99" s="48">
        <f t="shared" ref="I99:I102" si="246">J99+N99+S99</f>
        <v>0</v>
      </c>
      <c r="J99" s="48">
        <f t="shared" ref="J99:J102" si="247">K99+L99+M99</f>
        <v>0</v>
      </c>
      <c r="K99" s="48"/>
      <c r="L99" s="48"/>
      <c r="M99" s="48"/>
      <c r="N99" s="48">
        <f t="shared" ref="N99:N101" si="248">O99+P99+Q99+R99</f>
        <v>0</v>
      </c>
      <c r="O99" s="48"/>
      <c r="P99" s="48"/>
      <c r="Q99" s="48"/>
      <c r="R99" s="48"/>
      <c r="S99" s="48"/>
      <c r="T99" s="48">
        <f t="shared" ref="T99:T102" si="249">U99+V99</f>
        <v>0</v>
      </c>
      <c r="U99" s="48"/>
      <c r="V99" s="48">
        <f t="shared" ref="V99:V102" si="250">W99+X99+Y99+Z99+AA99</f>
        <v>0</v>
      </c>
      <c r="W99" s="48"/>
      <c r="X99" s="48"/>
      <c r="Y99" s="48"/>
      <c r="Z99" s="48"/>
      <c r="AA99" s="48"/>
      <c r="AB99" s="48">
        <f t="shared" ref="AB99:AB102" si="251">I99+T99</f>
        <v>0</v>
      </c>
      <c r="AC99" s="48">
        <f t="shared" ref="AC99:AC102" si="252">H99+AB99</f>
        <v>0</v>
      </c>
      <c r="AE99" s="242"/>
      <c r="AF99" s="103"/>
    </row>
    <row r="100" spans="1:32" x14ac:dyDescent="0.2">
      <c r="A100" s="25" t="s">
        <v>122</v>
      </c>
      <c r="B100" s="26" t="s">
        <v>128</v>
      </c>
      <c r="C100" s="48"/>
      <c r="D100" s="48"/>
      <c r="E100" s="48"/>
      <c r="F100" s="48"/>
      <c r="G100" s="48"/>
      <c r="H100" s="48">
        <f t="shared" si="245"/>
        <v>0</v>
      </c>
      <c r="I100" s="48">
        <f t="shared" si="246"/>
        <v>200</v>
      </c>
      <c r="J100" s="48">
        <f t="shared" si="247"/>
        <v>0</v>
      </c>
      <c r="K100" s="48"/>
      <c r="L100" s="48"/>
      <c r="M100" s="48"/>
      <c r="N100" s="48">
        <f t="shared" si="248"/>
        <v>200</v>
      </c>
      <c r="O100" s="48"/>
      <c r="P100" s="48"/>
      <c r="Q100" s="48">
        <v>200</v>
      </c>
      <c r="R100" s="48"/>
      <c r="S100" s="48"/>
      <c r="T100" s="48">
        <f t="shared" si="249"/>
        <v>0</v>
      </c>
      <c r="U100" s="48"/>
      <c r="V100" s="48">
        <f t="shared" si="250"/>
        <v>0</v>
      </c>
      <c r="W100" s="48"/>
      <c r="X100" s="48"/>
      <c r="Y100" s="48"/>
      <c r="Z100" s="48"/>
      <c r="AA100" s="48"/>
      <c r="AB100" s="48">
        <f t="shared" si="251"/>
        <v>200</v>
      </c>
      <c r="AC100" s="48">
        <f t="shared" si="252"/>
        <v>200</v>
      </c>
      <c r="AE100" s="242"/>
      <c r="AF100" s="103"/>
    </row>
    <row r="101" spans="1:32" x14ac:dyDescent="0.2">
      <c r="A101" s="25" t="s">
        <v>216</v>
      </c>
      <c r="B101" s="26" t="s">
        <v>217</v>
      </c>
      <c r="C101" s="48"/>
      <c r="D101" s="48"/>
      <c r="E101" s="48"/>
      <c r="F101" s="48"/>
      <c r="G101" s="48"/>
      <c r="H101" s="48">
        <f t="shared" si="245"/>
        <v>0</v>
      </c>
      <c r="I101" s="48">
        <f t="shared" si="246"/>
        <v>150</v>
      </c>
      <c r="J101" s="48">
        <f t="shared" si="247"/>
        <v>150</v>
      </c>
      <c r="K101" s="48"/>
      <c r="L101" s="48">
        <v>150</v>
      </c>
      <c r="M101" s="48"/>
      <c r="N101" s="48">
        <f t="shared" si="248"/>
        <v>0</v>
      </c>
      <c r="O101" s="48"/>
      <c r="P101" s="48"/>
      <c r="Q101" s="48"/>
      <c r="R101" s="48"/>
      <c r="S101" s="48"/>
      <c r="T101" s="48">
        <f t="shared" si="249"/>
        <v>0</v>
      </c>
      <c r="U101" s="48"/>
      <c r="V101" s="48">
        <f t="shared" si="250"/>
        <v>0</v>
      </c>
      <c r="W101" s="48"/>
      <c r="X101" s="48"/>
      <c r="Y101" s="48"/>
      <c r="Z101" s="48"/>
      <c r="AA101" s="48"/>
      <c r="AB101" s="48">
        <f t="shared" si="251"/>
        <v>150</v>
      </c>
      <c r="AC101" s="48">
        <f t="shared" si="252"/>
        <v>150</v>
      </c>
      <c r="AE101" s="242"/>
      <c r="AF101" s="103"/>
    </row>
    <row r="102" spans="1:32" x14ac:dyDescent="0.2">
      <c r="A102" s="25" t="s">
        <v>218</v>
      </c>
      <c r="B102" s="26" t="s">
        <v>219</v>
      </c>
      <c r="C102" s="48"/>
      <c r="D102" s="48"/>
      <c r="E102" s="48"/>
      <c r="F102" s="48"/>
      <c r="G102" s="48"/>
      <c r="H102" s="48">
        <f t="shared" si="245"/>
        <v>0</v>
      </c>
      <c r="I102" s="48">
        <f t="shared" si="246"/>
        <v>47000</v>
      </c>
      <c r="J102" s="48">
        <f t="shared" si="247"/>
        <v>0</v>
      </c>
      <c r="K102" s="48"/>
      <c r="L102" s="48"/>
      <c r="M102" s="48"/>
      <c r="N102" s="48">
        <f>O102+P102+Q102+R102+(47000)</f>
        <v>47000</v>
      </c>
      <c r="O102" s="48"/>
      <c r="P102" s="48"/>
      <c r="Q102" s="48"/>
      <c r="R102" s="48"/>
      <c r="S102" s="48"/>
      <c r="T102" s="48">
        <f t="shared" si="249"/>
        <v>0</v>
      </c>
      <c r="U102" s="48"/>
      <c r="V102" s="48">
        <f t="shared" si="250"/>
        <v>0</v>
      </c>
      <c r="W102" s="48"/>
      <c r="X102" s="48"/>
      <c r="Y102" s="48"/>
      <c r="Z102" s="48"/>
      <c r="AA102" s="48"/>
      <c r="AB102" s="48">
        <f t="shared" si="251"/>
        <v>47000</v>
      </c>
      <c r="AC102" s="48">
        <f t="shared" si="252"/>
        <v>47000</v>
      </c>
      <c r="AE102" s="242"/>
      <c r="AF102" s="103"/>
    </row>
    <row r="103" spans="1:32" x14ac:dyDescent="0.2">
      <c r="A103" s="23">
        <v>2.0299999999999998</v>
      </c>
      <c r="B103" s="24" t="s">
        <v>220</v>
      </c>
      <c r="C103" s="47">
        <f>C104+C105+C106+C107+C108+C109+C110</f>
        <v>0</v>
      </c>
      <c r="D103" s="47">
        <f t="shared" ref="D103:I103" si="253">D104+D105+D106+D107+D108+D109+D110</f>
        <v>0</v>
      </c>
      <c r="E103" s="47">
        <f t="shared" si="253"/>
        <v>0</v>
      </c>
      <c r="F103" s="47">
        <f t="shared" si="253"/>
        <v>0</v>
      </c>
      <c r="G103" s="47">
        <f t="shared" si="253"/>
        <v>280</v>
      </c>
      <c r="H103" s="47">
        <f t="shared" si="253"/>
        <v>280</v>
      </c>
      <c r="I103" s="47">
        <f t="shared" si="253"/>
        <v>11750</v>
      </c>
      <c r="J103" s="47">
        <f t="shared" ref="J103:AC103" si="254">J104+J105+J106+J107+J108+J109+J110</f>
        <v>800</v>
      </c>
      <c r="K103" s="47">
        <f t="shared" si="254"/>
        <v>800</v>
      </c>
      <c r="L103" s="47">
        <f t="shared" si="254"/>
        <v>0</v>
      </c>
      <c r="M103" s="47">
        <f t="shared" si="254"/>
        <v>0</v>
      </c>
      <c r="N103" s="47">
        <f t="shared" si="254"/>
        <v>10950</v>
      </c>
      <c r="O103" s="47">
        <f t="shared" si="254"/>
        <v>4550</v>
      </c>
      <c r="P103" s="47">
        <f t="shared" ref="P103:R103" si="255">P104+P105+P106+P107+P108+P109+P110</f>
        <v>500</v>
      </c>
      <c r="Q103" s="47">
        <f t="shared" si="255"/>
        <v>4300</v>
      </c>
      <c r="R103" s="47">
        <f t="shared" si="255"/>
        <v>1600</v>
      </c>
      <c r="S103" s="47">
        <f t="shared" ref="S103" si="256">S104+S105+S106+S107+S108+S109+S110</f>
        <v>0</v>
      </c>
      <c r="T103" s="47">
        <f t="shared" si="254"/>
        <v>0</v>
      </c>
      <c r="U103" s="47">
        <f t="shared" ref="U103" si="257">U104+U105+U106+U107+U108+U109+U110</f>
        <v>0</v>
      </c>
      <c r="V103" s="47">
        <f t="shared" si="254"/>
        <v>0</v>
      </c>
      <c r="W103" s="47">
        <f t="shared" si="254"/>
        <v>0</v>
      </c>
      <c r="X103" s="47">
        <f t="shared" si="254"/>
        <v>0</v>
      </c>
      <c r="Y103" s="47">
        <f t="shared" si="254"/>
        <v>0</v>
      </c>
      <c r="Z103" s="47">
        <f t="shared" si="254"/>
        <v>0</v>
      </c>
      <c r="AA103" s="47">
        <f>AA104+AA105+AA106+AA107+AA108+AA109+AA110</f>
        <v>0</v>
      </c>
      <c r="AB103" s="47">
        <f t="shared" si="254"/>
        <v>11750</v>
      </c>
      <c r="AC103" s="47">
        <f t="shared" si="254"/>
        <v>12030</v>
      </c>
      <c r="AE103" s="242"/>
      <c r="AF103" s="103"/>
    </row>
    <row r="104" spans="1:32" x14ac:dyDescent="0.2">
      <c r="A104" s="25" t="s">
        <v>221</v>
      </c>
      <c r="B104" s="26" t="s">
        <v>222</v>
      </c>
      <c r="C104" s="48"/>
      <c r="D104" s="48"/>
      <c r="E104" s="48"/>
      <c r="F104" s="48"/>
      <c r="G104" s="48"/>
      <c r="H104" s="48">
        <f t="shared" ref="H104:H110" si="258">C104+D104+E104+F104+G104</f>
        <v>0</v>
      </c>
      <c r="I104" s="48">
        <f t="shared" ref="I104:I110" si="259">J104+N104+S104</f>
        <v>4300</v>
      </c>
      <c r="J104" s="48">
        <f t="shared" ref="J104:J110" si="260">K104+L104+M104</f>
        <v>100</v>
      </c>
      <c r="K104" s="48">
        <v>100</v>
      </c>
      <c r="L104" s="48"/>
      <c r="M104" s="48"/>
      <c r="N104" s="48">
        <f t="shared" ref="N104:N110" si="261">O104+P104+Q104+R104</f>
        <v>4200</v>
      </c>
      <c r="O104" s="48">
        <v>3000</v>
      </c>
      <c r="P104" s="48">
        <v>250</v>
      </c>
      <c r="Q104" s="48">
        <v>500</v>
      </c>
      <c r="R104" s="48">
        <f>150+300</f>
        <v>450</v>
      </c>
      <c r="S104" s="48"/>
      <c r="T104" s="48">
        <f t="shared" ref="T104:T110" si="262">U104+V104</f>
        <v>0</v>
      </c>
      <c r="U104" s="48"/>
      <c r="V104" s="48">
        <f t="shared" ref="V104:V110" si="263">W104+X104+Y104+Z104+AA104</f>
        <v>0</v>
      </c>
      <c r="W104" s="48"/>
      <c r="X104" s="48"/>
      <c r="Y104" s="48"/>
      <c r="Z104" s="48"/>
      <c r="AA104" s="48"/>
      <c r="AB104" s="48">
        <f t="shared" ref="AB104:AB110" si="264">I104+T104</f>
        <v>4300</v>
      </c>
      <c r="AC104" s="48">
        <f t="shared" ref="AC104:AC110" si="265">H104+AB104</f>
        <v>4300</v>
      </c>
      <c r="AE104" s="242"/>
      <c r="AF104" s="103"/>
    </row>
    <row r="105" spans="1:32" x14ac:dyDescent="0.2">
      <c r="A105" s="25" t="s">
        <v>223</v>
      </c>
      <c r="B105" s="26" t="s">
        <v>224</v>
      </c>
      <c r="C105" s="48"/>
      <c r="D105" s="48"/>
      <c r="E105" s="48"/>
      <c r="F105" s="48"/>
      <c r="G105" s="48"/>
      <c r="H105" s="48">
        <f t="shared" si="258"/>
        <v>0</v>
      </c>
      <c r="I105" s="48">
        <f t="shared" si="259"/>
        <v>900</v>
      </c>
      <c r="J105" s="48">
        <f t="shared" si="260"/>
        <v>100</v>
      </c>
      <c r="K105" s="48">
        <v>100</v>
      </c>
      <c r="L105" s="48"/>
      <c r="M105" s="48"/>
      <c r="N105" s="48">
        <f t="shared" si="261"/>
        <v>800</v>
      </c>
      <c r="O105" s="48">
        <v>600</v>
      </c>
      <c r="P105" s="48"/>
      <c r="Q105" s="48">
        <v>200</v>
      </c>
      <c r="R105" s="48"/>
      <c r="S105" s="48"/>
      <c r="T105" s="48">
        <f t="shared" si="262"/>
        <v>0</v>
      </c>
      <c r="U105" s="48"/>
      <c r="V105" s="48">
        <f t="shared" si="263"/>
        <v>0</v>
      </c>
      <c r="W105" s="48"/>
      <c r="X105" s="48"/>
      <c r="Y105" s="48"/>
      <c r="Z105" s="48"/>
      <c r="AA105" s="48"/>
      <c r="AB105" s="48">
        <f t="shared" si="264"/>
        <v>900</v>
      </c>
      <c r="AC105" s="48">
        <f t="shared" si="265"/>
        <v>900</v>
      </c>
      <c r="AE105" s="242"/>
      <c r="AF105" s="103"/>
    </row>
    <row r="106" spans="1:32" x14ac:dyDescent="0.2">
      <c r="A106" s="25" t="s">
        <v>225</v>
      </c>
      <c r="B106" s="26" t="s">
        <v>226</v>
      </c>
      <c r="C106" s="48"/>
      <c r="D106" s="48"/>
      <c r="E106" s="48"/>
      <c r="F106" s="48"/>
      <c r="G106" s="48">
        <v>200</v>
      </c>
      <c r="H106" s="48">
        <f t="shared" si="258"/>
        <v>200</v>
      </c>
      <c r="I106" s="48">
        <f t="shared" si="259"/>
        <v>1000</v>
      </c>
      <c r="J106" s="48">
        <f t="shared" si="260"/>
        <v>100</v>
      </c>
      <c r="K106" s="48">
        <v>100</v>
      </c>
      <c r="L106" s="48"/>
      <c r="M106" s="48"/>
      <c r="N106" s="48">
        <f t="shared" si="261"/>
        <v>900</v>
      </c>
      <c r="O106" s="48">
        <v>50</v>
      </c>
      <c r="P106" s="48"/>
      <c r="Q106" s="48">
        <v>500</v>
      </c>
      <c r="R106" s="48">
        <v>350</v>
      </c>
      <c r="S106" s="48"/>
      <c r="T106" s="48">
        <f t="shared" si="262"/>
        <v>0</v>
      </c>
      <c r="U106" s="48"/>
      <c r="V106" s="48">
        <f t="shared" si="263"/>
        <v>0</v>
      </c>
      <c r="W106" s="48"/>
      <c r="X106" s="48"/>
      <c r="Y106" s="48"/>
      <c r="Z106" s="48"/>
      <c r="AA106" s="48"/>
      <c r="AB106" s="48">
        <f t="shared" si="264"/>
        <v>1000</v>
      </c>
      <c r="AC106" s="48">
        <f t="shared" si="265"/>
        <v>1200</v>
      </c>
      <c r="AE106" s="242"/>
      <c r="AF106" s="103"/>
    </row>
    <row r="107" spans="1:32" x14ac:dyDescent="0.2">
      <c r="A107" s="25" t="s">
        <v>227</v>
      </c>
      <c r="B107" s="26" t="s">
        <v>228</v>
      </c>
      <c r="C107" s="48"/>
      <c r="D107" s="48"/>
      <c r="E107" s="48"/>
      <c r="F107" s="48"/>
      <c r="G107" s="48">
        <v>80</v>
      </c>
      <c r="H107" s="48">
        <f t="shared" si="258"/>
        <v>80</v>
      </c>
      <c r="I107" s="48">
        <f t="shared" si="259"/>
        <v>700</v>
      </c>
      <c r="J107" s="48">
        <f t="shared" si="260"/>
        <v>150</v>
      </c>
      <c r="K107" s="48">
        <v>150</v>
      </c>
      <c r="L107" s="48"/>
      <c r="M107" s="48"/>
      <c r="N107" s="48">
        <f t="shared" si="261"/>
        <v>550</v>
      </c>
      <c r="O107" s="48">
        <v>300</v>
      </c>
      <c r="P107" s="48"/>
      <c r="Q107" s="48">
        <v>250</v>
      </c>
      <c r="R107" s="48"/>
      <c r="S107" s="48"/>
      <c r="T107" s="48">
        <f t="shared" si="262"/>
        <v>0</v>
      </c>
      <c r="U107" s="48"/>
      <c r="V107" s="48">
        <f t="shared" si="263"/>
        <v>0</v>
      </c>
      <c r="W107" s="48"/>
      <c r="X107" s="48"/>
      <c r="Y107" s="48"/>
      <c r="Z107" s="48"/>
      <c r="AA107" s="48"/>
      <c r="AB107" s="48">
        <f t="shared" si="264"/>
        <v>700</v>
      </c>
      <c r="AC107" s="48">
        <f t="shared" si="265"/>
        <v>780</v>
      </c>
      <c r="AE107" s="242"/>
      <c r="AF107" s="103"/>
    </row>
    <row r="108" spans="1:32" x14ac:dyDescent="0.2">
      <c r="A108" s="27" t="s">
        <v>229</v>
      </c>
      <c r="B108" s="41" t="s">
        <v>230</v>
      </c>
      <c r="C108" s="48"/>
      <c r="D108" s="48"/>
      <c r="E108" s="48"/>
      <c r="F108" s="48"/>
      <c r="G108" s="48"/>
      <c r="H108" s="48">
        <f t="shared" si="258"/>
        <v>0</v>
      </c>
      <c r="I108" s="48">
        <f t="shared" si="259"/>
        <v>350</v>
      </c>
      <c r="J108" s="48">
        <f t="shared" si="260"/>
        <v>100</v>
      </c>
      <c r="K108" s="48">
        <v>100</v>
      </c>
      <c r="L108" s="48"/>
      <c r="M108" s="48"/>
      <c r="N108" s="48">
        <f t="shared" si="261"/>
        <v>250</v>
      </c>
      <c r="O108" s="48"/>
      <c r="P108" s="48"/>
      <c r="Q108" s="48">
        <v>250</v>
      </c>
      <c r="R108" s="48"/>
      <c r="S108" s="48"/>
      <c r="T108" s="48">
        <f t="shared" si="262"/>
        <v>0</v>
      </c>
      <c r="U108" s="48"/>
      <c r="V108" s="48">
        <f t="shared" si="263"/>
        <v>0</v>
      </c>
      <c r="W108" s="48"/>
      <c r="X108" s="48"/>
      <c r="Y108" s="48"/>
      <c r="Z108" s="48"/>
      <c r="AA108" s="48"/>
      <c r="AB108" s="48">
        <f t="shared" si="264"/>
        <v>350</v>
      </c>
      <c r="AC108" s="48">
        <f t="shared" si="265"/>
        <v>350</v>
      </c>
      <c r="AE108" s="242"/>
      <c r="AF108" s="103"/>
    </row>
    <row r="109" spans="1:32" x14ac:dyDescent="0.2">
      <c r="A109" s="25" t="s">
        <v>231</v>
      </c>
      <c r="B109" s="26" t="s">
        <v>232</v>
      </c>
      <c r="C109" s="48"/>
      <c r="D109" s="48"/>
      <c r="E109" s="48"/>
      <c r="F109" s="48"/>
      <c r="G109" s="48"/>
      <c r="H109" s="48">
        <f t="shared" si="258"/>
        <v>0</v>
      </c>
      <c r="I109" s="48">
        <f t="shared" si="259"/>
        <v>3750</v>
      </c>
      <c r="J109" s="48">
        <f t="shared" si="260"/>
        <v>100</v>
      </c>
      <c r="K109" s="48">
        <v>100</v>
      </c>
      <c r="L109" s="48"/>
      <c r="M109" s="48"/>
      <c r="N109" s="48">
        <f t="shared" si="261"/>
        <v>3650</v>
      </c>
      <c r="O109" s="48">
        <v>300</v>
      </c>
      <c r="P109" s="48">
        <v>250</v>
      </c>
      <c r="Q109" s="48">
        <v>2500</v>
      </c>
      <c r="R109" s="48">
        <v>600</v>
      </c>
      <c r="S109" s="48"/>
      <c r="T109" s="48">
        <f t="shared" si="262"/>
        <v>0</v>
      </c>
      <c r="U109" s="48"/>
      <c r="V109" s="48">
        <f t="shared" si="263"/>
        <v>0</v>
      </c>
      <c r="W109" s="48"/>
      <c r="X109" s="48"/>
      <c r="Y109" s="48"/>
      <c r="Z109" s="48"/>
      <c r="AA109" s="48"/>
      <c r="AB109" s="48">
        <f t="shared" si="264"/>
        <v>3750</v>
      </c>
      <c r="AC109" s="48">
        <f t="shared" si="265"/>
        <v>3750</v>
      </c>
      <c r="AE109" s="242"/>
      <c r="AF109" s="103"/>
    </row>
    <row r="110" spans="1:32" x14ac:dyDescent="0.2">
      <c r="A110" s="25" t="s">
        <v>233</v>
      </c>
      <c r="B110" s="26" t="s">
        <v>234</v>
      </c>
      <c r="C110" s="48"/>
      <c r="D110" s="48"/>
      <c r="E110" s="48"/>
      <c r="F110" s="48"/>
      <c r="G110" s="48"/>
      <c r="H110" s="48">
        <f t="shared" si="258"/>
        <v>0</v>
      </c>
      <c r="I110" s="48">
        <f t="shared" si="259"/>
        <v>750</v>
      </c>
      <c r="J110" s="48">
        <f t="shared" si="260"/>
        <v>150</v>
      </c>
      <c r="K110" s="48">
        <v>150</v>
      </c>
      <c r="L110" s="48"/>
      <c r="M110" s="48"/>
      <c r="N110" s="48">
        <f t="shared" si="261"/>
        <v>600</v>
      </c>
      <c r="O110" s="48">
        <v>300</v>
      </c>
      <c r="P110" s="48"/>
      <c r="Q110" s="48">
        <v>100</v>
      </c>
      <c r="R110" s="48">
        <v>200</v>
      </c>
      <c r="S110" s="48"/>
      <c r="T110" s="48">
        <f t="shared" si="262"/>
        <v>0</v>
      </c>
      <c r="U110" s="48"/>
      <c r="V110" s="48">
        <f t="shared" si="263"/>
        <v>0</v>
      </c>
      <c r="W110" s="48"/>
      <c r="X110" s="48"/>
      <c r="Y110" s="48"/>
      <c r="Z110" s="48"/>
      <c r="AA110" s="48"/>
      <c r="AB110" s="48">
        <f t="shared" si="264"/>
        <v>750</v>
      </c>
      <c r="AC110" s="48">
        <f t="shared" si="265"/>
        <v>750</v>
      </c>
      <c r="AE110" s="242"/>
      <c r="AF110" s="103"/>
    </row>
    <row r="111" spans="1:32" x14ac:dyDescent="0.2">
      <c r="A111" s="23" t="s">
        <v>100</v>
      </c>
      <c r="B111" s="24" t="s">
        <v>102</v>
      </c>
      <c r="C111" s="47">
        <f>C112+C113</f>
        <v>7370</v>
      </c>
      <c r="D111" s="47">
        <f t="shared" ref="D111:I111" si="266">D112+D113</f>
        <v>0</v>
      </c>
      <c r="E111" s="47">
        <f t="shared" si="266"/>
        <v>0</v>
      </c>
      <c r="F111" s="47">
        <f t="shared" si="266"/>
        <v>0</v>
      </c>
      <c r="G111" s="47">
        <f t="shared" si="266"/>
        <v>115</v>
      </c>
      <c r="H111" s="47">
        <f t="shared" si="266"/>
        <v>7485</v>
      </c>
      <c r="I111" s="47">
        <f t="shared" si="266"/>
        <v>18430</v>
      </c>
      <c r="J111" s="47">
        <f t="shared" ref="J111:AC111" si="267">J112+J113</f>
        <v>9750</v>
      </c>
      <c r="K111" s="47">
        <f t="shared" si="267"/>
        <v>6500</v>
      </c>
      <c r="L111" s="47">
        <f t="shared" si="267"/>
        <v>3250</v>
      </c>
      <c r="M111" s="47">
        <f t="shared" si="267"/>
        <v>0</v>
      </c>
      <c r="N111" s="47">
        <f t="shared" si="267"/>
        <v>8680</v>
      </c>
      <c r="O111" s="47">
        <f t="shared" si="267"/>
        <v>4580</v>
      </c>
      <c r="P111" s="47">
        <f t="shared" ref="P111:R111" si="268">P112+P113</f>
        <v>1650</v>
      </c>
      <c r="Q111" s="47">
        <f t="shared" si="268"/>
        <v>1500</v>
      </c>
      <c r="R111" s="47">
        <f t="shared" si="268"/>
        <v>950</v>
      </c>
      <c r="S111" s="47">
        <f t="shared" ref="S111" si="269">S112+S113</f>
        <v>0</v>
      </c>
      <c r="T111" s="47">
        <f t="shared" si="267"/>
        <v>0</v>
      </c>
      <c r="U111" s="47">
        <f t="shared" ref="U111" si="270">U112+U113</f>
        <v>0</v>
      </c>
      <c r="V111" s="47">
        <f t="shared" si="267"/>
        <v>0</v>
      </c>
      <c r="W111" s="47">
        <f t="shared" si="267"/>
        <v>0</v>
      </c>
      <c r="X111" s="47">
        <f t="shared" si="267"/>
        <v>0</v>
      </c>
      <c r="Y111" s="47">
        <f t="shared" si="267"/>
        <v>0</v>
      </c>
      <c r="Z111" s="47">
        <f t="shared" si="267"/>
        <v>0</v>
      </c>
      <c r="AA111" s="47">
        <f>AA112+AA113</f>
        <v>0</v>
      </c>
      <c r="AB111" s="47">
        <f t="shared" si="267"/>
        <v>18430</v>
      </c>
      <c r="AC111" s="47">
        <f t="shared" si="267"/>
        <v>25915</v>
      </c>
      <c r="AE111" s="242"/>
      <c r="AF111" s="103"/>
    </row>
    <row r="112" spans="1:32" x14ac:dyDescent="0.2">
      <c r="A112" s="25" t="s">
        <v>101</v>
      </c>
      <c r="B112" s="26" t="s">
        <v>103</v>
      </c>
      <c r="C112" s="48"/>
      <c r="D112" s="48"/>
      <c r="E112" s="48"/>
      <c r="F112" s="48"/>
      <c r="G112" s="48">
        <v>115</v>
      </c>
      <c r="H112" s="48">
        <f t="shared" ref="H112:H113" si="271">C112+D112+E112+F112+G112</f>
        <v>115</v>
      </c>
      <c r="I112" s="48">
        <f t="shared" ref="I112:I113" si="272">J112+N112+S112</f>
        <v>3350</v>
      </c>
      <c r="J112" s="48">
        <f t="shared" ref="J112" si="273">K112+L112+M112</f>
        <v>1000</v>
      </c>
      <c r="K112" s="48">
        <v>500</v>
      </c>
      <c r="L112" s="48">
        <v>500</v>
      </c>
      <c r="M112" s="48"/>
      <c r="N112" s="48">
        <f t="shared" ref="N112" si="274">O112+P112+Q112+R112</f>
        <v>2350</v>
      </c>
      <c r="O112" s="48">
        <v>750</v>
      </c>
      <c r="P112" s="48">
        <v>650</v>
      </c>
      <c r="Q112" s="48">
        <v>500</v>
      </c>
      <c r="R112" s="48">
        <v>450</v>
      </c>
      <c r="S112" s="48"/>
      <c r="T112" s="48">
        <f t="shared" ref="T112:T113" si="275">U112+V112</f>
        <v>0</v>
      </c>
      <c r="U112" s="48"/>
      <c r="V112" s="48">
        <f t="shared" ref="V112:V113" si="276">W112+X112+Y112+Z112+AA112</f>
        <v>0</v>
      </c>
      <c r="W112" s="48"/>
      <c r="X112" s="48"/>
      <c r="Y112" s="48"/>
      <c r="Z112" s="48"/>
      <c r="AA112" s="48"/>
      <c r="AB112" s="48">
        <f t="shared" ref="AB112:AB113" si="277">I112+T112</f>
        <v>3350</v>
      </c>
      <c r="AC112" s="48">
        <f t="shared" ref="AC112:AC113" si="278">H112+AB112</f>
        <v>3465</v>
      </c>
      <c r="AE112" s="242"/>
      <c r="AF112" s="103"/>
    </row>
    <row r="113" spans="1:32" s="32" customFormat="1" x14ac:dyDescent="0.2">
      <c r="A113" s="27" t="s">
        <v>84</v>
      </c>
      <c r="B113" s="41" t="s">
        <v>104</v>
      </c>
      <c r="C113" s="48">
        <v>7370</v>
      </c>
      <c r="D113" s="48"/>
      <c r="E113" s="48"/>
      <c r="F113" s="48"/>
      <c r="G113" s="48"/>
      <c r="H113" s="48">
        <f t="shared" si="271"/>
        <v>7370</v>
      </c>
      <c r="I113" s="48">
        <f t="shared" si="272"/>
        <v>15080</v>
      </c>
      <c r="J113" s="48">
        <f>K113+L113+M113</f>
        <v>8750</v>
      </c>
      <c r="K113" s="48">
        <f>1000+5000</f>
        <v>6000</v>
      </c>
      <c r="L113" s="48">
        <f>250+2500</f>
        <v>2750</v>
      </c>
      <c r="M113" s="48"/>
      <c r="N113" s="48">
        <f>O113+P113+Q113+R113</f>
        <v>6330</v>
      </c>
      <c r="O113" s="48">
        <f>3000+830</f>
        <v>3830</v>
      </c>
      <c r="P113" s="48">
        <v>1000</v>
      </c>
      <c r="Q113" s="48">
        <v>1000</v>
      </c>
      <c r="R113" s="48">
        <f>200+300</f>
        <v>500</v>
      </c>
      <c r="S113" s="48"/>
      <c r="T113" s="48">
        <f t="shared" si="275"/>
        <v>0</v>
      </c>
      <c r="U113" s="48"/>
      <c r="V113" s="48">
        <f t="shared" si="276"/>
        <v>0</v>
      </c>
      <c r="W113" s="48"/>
      <c r="X113" s="48"/>
      <c r="Y113" s="48"/>
      <c r="Z113" s="48"/>
      <c r="AA113" s="48"/>
      <c r="AB113" s="48">
        <f t="shared" si="277"/>
        <v>15080</v>
      </c>
      <c r="AC113" s="48">
        <f t="shared" si="278"/>
        <v>22450</v>
      </c>
      <c r="AE113" s="243"/>
      <c r="AF113" s="126"/>
    </row>
    <row r="114" spans="1:32" hidden="1" x14ac:dyDescent="0.2">
      <c r="A114" s="23">
        <v>2.0499999999999998</v>
      </c>
      <c r="B114" s="24" t="s">
        <v>18</v>
      </c>
      <c r="C114" s="47">
        <f>C115+C116</f>
        <v>0</v>
      </c>
      <c r="D114" s="47">
        <f t="shared" ref="D114:I114" si="279">D115+D116</f>
        <v>0</v>
      </c>
      <c r="E114" s="47">
        <f t="shared" si="279"/>
        <v>0</v>
      </c>
      <c r="F114" s="47">
        <f t="shared" si="279"/>
        <v>0</v>
      </c>
      <c r="G114" s="47">
        <f t="shared" si="279"/>
        <v>0</v>
      </c>
      <c r="H114" s="47">
        <f t="shared" si="279"/>
        <v>0</v>
      </c>
      <c r="I114" s="47">
        <f t="shared" si="279"/>
        <v>0</v>
      </c>
      <c r="J114" s="47">
        <f t="shared" ref="J114:AC114" si="280">J115+J116</f>
        <v>0</v>
      </c>
      <c r="K114" s="47">
        <f t="shared" si="280"/>
        <v>0</v>
      </c>
      <c r="L114" s="47">
        <f t="shared" si="280"/>
        <v>0</v>
      </c>
      <c r="M114" s="47">
        <f t="shared" si="280"/>
        <v>0</v>
      </c>
      <c r="N114" s="47">
        <f t="shared" si="280"/>
        <v>0</v>
      </c>
      <c r="O114" s="47">
        <f t="shared" si="280"/>
        <v>0</v>
      </c>
      <c r="P114" s="47">
        <f t="shared" ref="P114:R114" si="281">P115+P116</f>
        <v>0</v>
      </c>
      <c r="Q114" s="47">
        <f t="shared" si="281"/>
        <v>0</v>
      </c>
      <c r="R114" s="47">
        <f t="shared" si="281"/>
        <v>0</v>
      </c>
      <c r="S114" s="47">
        <f t="shared" ref="S114" si="282">S115+S116</f>
        <v>0</v>
      </c>
      <c r="T114" s="47">
        <f t="shared" si="280"/>
        <v>0</v>
      </c>
      <c r="U114" s="47">
        <f t="shared" ref="U114" si="283">U115+U116</f>
        <v>0</v>
      </c>
      <c r="V114" s="47">
        <f t="shared" si="280"/>
        <v>0</v>
      </c>
      <c r="W114" s="47">
        <f t="shared" si="280"/>
        <v>0</v>
      </c>
      <c r="X114" s="47">
        <f t="shared" si="280"/>
        <v>0</v>
      </c>
      <c r="Y114" s="47">
        <f t="shared" si="280"/>
        <v>0</v>
      </c>
      <c r="Z114" s="47">
        <f t="shared" si="280"/>
        <v>0</v>
      </c>
      <c r="AA114" s="47">
        <f>AA115+AA116</f>
        <v>0</v>
      </c>
      <c r="AB114" s="47">
        <f t="shared" si="280"/>
        <v>0</v>
      </c>
      <c r="AC114" s="47">
        <f t="shared" si="280"/>
        <v>0</v>
      </c>
      <c r="AE114" s="242"/>
      <c r="AF114" s="103"/>
    </row>
    <row r="115" spans="1:32" hidden="1" x14ac:dyDescent="0.2">
      <c r="A115" s="25" t="s">
        <v>235</v>
      </c>
      <c r="B115" s="26" t="s">
        <v>236</v>
      </c>
      <c r="C115" s="48"/>
      <c r="D115" s="48"/>
      <c r="E115" s="48"/>
      <c r="F115" s="48"/>
      <c r="G115" s="48"/>
      <c r="H115" s="48">
        <f t="shared" ref="H115:H116" si="284">C115+D115+E115+F115+G115</f>
        <v>0</v>
      </c>
      <c r="I115" s="48">
        <f t="shared" ref="I115:I116" si="285">J115+N115+S115</f>
        <v>0</v>
      </c>
      <c r="J115" s="48">
        <f t="shared" ref="J115:J116" si="286">K115+L115+M115</f>
        <v>0</v>
      </c>
      <c r="K115" s="48"/>
      <c r="L115" s="48"/>
      <c r="M115" s="48"/>
      <c r="N115" s="48">
        <f t="shared" ref="N115:N116" si="287">O115+P115+Q115+R115</f>
        <v>0</v>
      </c>
      <c r="O115" s="48"/>
      <c r="P115" s="48"/>
      <c r="Q115" s="48"/>
      <c r="R115" s="48"/>
      <c r="S115" s="48"/>
      <c r="T115" s="48">
        <f t="shared" ref="T115:T116" si="288">U115+V115</f>
        <v>0</v>
      </c>
      <c r="U115" s="48"/>
      <c r="V115" s="48">
        <f t="shared" ref="V115:V116" si="289">W115+X115+Y115+Z115+AA115</f>
        <v>0</v>
      </c>
      <c r="W115" s="48"/>
      <c r="X115" s="48"/>
      <c r="Y115" s="48"/>
      <c r="Z115" s="48"/>
      <c r="AA115" s="48"/>
      <c r="AB115" s="48">
        <f t="shared" ref="AB115:AB116" si="290">I115+T115</f>
        <v>0</v>
      </c>
      <c r="AC115" s="48">
        <f t="shared" ref="AC115:AC116" si="291">H115+AB115</f>
        <v>0</v>
      </c>
      <c r="AE115" s="242"/>
      <c r="AF115" s="103"/>
    </row>
    <row r="116" spans="1:32" hidden="1" x14ac:dyDescent="0.2">
      <c r="A116" s="25" t="s">
        <v>237</v>
      </c>
      <c r="B116" s="26" t="s">
        <v>19</v>
      </c>
      <c r="C116" s="48"/>
      <c r="D116" s="48"/>
      <c r="E116" s="48"/>
      <c r="F116" s="48"/>
      <c r="G116" s="48"/>
      <c r="H116" s="48">
        <f t="shared" si="284"/>
        <v>0</v>
      </c>
      <c r="I116" s="48">
        <f t="shared" si="285"/>
        <v>0</v>
      </c>
      <c r="J116" s="48">
        <f t="shared" si="286"/>
        <v>0</v>
      </c>
      <c r="K116" s="48"/>
      <c r="L116" s="48"/>
      <c r="M116" s="48"/>
      <c r="N116" s="48">
        <f t="shared" si="287"/>
        <v>0</v>
      </c>
      <c r="O116" s="48"/>
      <c r="P116" s="48"/>
      <c r="Q116" s="48"/>
      <c r="R116" s="48"/>
      <c r="S116" s="48"/>
      <c r="T116" s="48">
        <f t="shared" si="288"/>
        <v>0</v>
      </c>
      <c r="U116" s="48"/>
      <c r="V116" s="48">
        <f t="shared" si="289"/>
        <v>0</v>
      </c>
      <c r="W116" s="48"/>
      <c r="X116" s="48"/>
      <c r="Y116" s="48"/>
      <c r="Z116" s="48"/>
      <c r="AA116" s="48"/>
      <c r="AB116" s="48">
        <f t="shared" si="290"/>
        <v>0</v>
      </c>
      <c r="AC116" s="48">
        <f t="shared" si="291"/>
        <v>0</v>
      </c>
      <c r="AE116" s="242"/>
      <c r="AF116" s="103"/>
    </row>
    <row r="117" spans="1:32" x14ac:dyDescent="0.2">
      <c r="A117" s="23">
        <v>2.99</v>
      </c>
      <c r="B117" s="24" t="s">
        <v>20</v>
      </c>
      <c r="C117" s="47">
        <f>C118+C119+C120+C121+C122+C123+C124+C125</f>
        <v>8394.7999999999993</v>
      </c>
      <c r="D117" s="47">
        <f t="shared" ref="D117:H117" si="292">D118+D119+D120+D121+D122+D123+D124+D125</f>
        <v>0</v>
      </c>
      <c r="E117" s="47">
        <f t="shared" si="292"/>
        <v>150</v>
      </c>
      <c r="F117" s="47">
        <f t="shared" si="292"/>
        <v>0</v>
      </c>
      <c r="G117" s="47">
        <f t="shared" si="292"/>
        <v>322.5</v>
      </c>
      <c r="H117" s="47">
        <f t="shared" si="292"/>
        <v>8867.2999999999993</v>
      </c>
      <c r="I117" s="47">
        <f>I118+I119+I120+I121+I122+I123+I124+I125</f>
        <v>10570</v>
      </c>
      <c r="J117" s="47">
        <f>J118+J119+J120+J121+J122+J123+J124+J125</f>
        <v>2350</v>
      </c>
      <c r="K117" s="47">
        <f t="shared" ref="K117:O117" si="293">K118+K119+K120+K121+K122+K123+K124+K125</f>
        <v>700</v>
      </c>
      <c r="L117" s="47">
        <f t="shared" si="293"/>
        <v>1650</v>
      </c>
      <c r="M117" s="47">
        <f t="shared" si="293"/>
        <v>0</v>
      </c>
      <c r="N117" s="47">
        <f t="shared" si="293"/>
        <v>8220</v>
      </c>
      <c r="O117" s="47">
        <f t="shared" si="293"/>
        <v>3820</v>
      </c>
      <c r="P117" s="47">
        <f t="shared" ref="P117:R117" si="294">P118+P119+P120+P121+P122+P123+P124+P125</f>
        <v>2100</v>
      </c>
      <c r="Q117" s="47">
        <f t="shared" si="294"/>
        <v>2100</v>
      </c>
      <c r="R117" s="47">
        <f t="shared" si="294"/>
        <v>200</v>
      </c>
      <c r="S117" s="47">
        <f t="shared" ref="S117" si="295">S118+S119+S120+S121+S122+S123+S124+S125</f>
        <v>0</v>
      </c>
      <c r="T117" s="47">
        <f t="shared" ref="T117:AC117" si="296">T118+T119+T120+T121+T122+T123+T124+T125</f>
        <v>0</v>
      </c>
      <c r="U117" s="47">
        <f t="shared" ref="U117" si="297">U118+U119+U120+U121+U122+U123+U124+U125</f>
        <v>0</v>
      </c>
      <c r="V117" s="47">
        <f t="shared" si="296"/>
        <v>0</v>
      </c>
      <c r="W117" s="47">
        <f t="shared" si="296"/>
        <v>0</v>
      </c>
      <c r="X117" s="47">
        <f t="shared" si="296"/>
        <v>0</v>
      </c>
      <c r="Y117" s="47">
        <f t="shared" si="296"/>
        <v>0</v>
      </c>
      <c r="Z117" s="47">
        <f t="shared" si="296"/>
        <v>0</v>
      </c>
      <c r="AA117" s="47">
        <f>AA118+AA119+AA120+AA121+AA122+AA123+AA124+AA125</f>
        <v>0</v>
      </c>
      <c r="AB117" s="47">
        <f t="shared" si="296"/>
        <v>10570</v>
      </c>
      <c r="AC117" s="47">
        <f t="shared" si="296"/>
        <v>19437.3</v>
      </c>
      <c r="AE117" s="242"/>
      <c r="AF117" s="103"/>
    </row>
    <row r="118" spans="1:32" x14ac:dyDescent="0.2">
      <c r="A118" s="25" t="s">
        <v>238</v>
      </c>
      <c r="B118" s="26" t="s">
        <v>21</v>
      </c>
      <c r="C118" s="48">
        <v>2000</v>
      </c>
      <c r="D118" s="48"/>
      <c r="E118" s="48"/>
      <c r="F118" s="48"/>
      <c r="G118" s="48"/>
      <c r="H118" s="48">
        <f t="shared" ref="H118:H125" si="298">C118+D118+E118+F118+G118</f>
        <v>2000</v>
      </c>
      <c r="I118" s="48">
        <f t="shared" ref="I118:I125" si="299">J118+N118+S118</f>
        <v>100</v>
      </c>
      <c r="J118" s="48">
        <f t="shared" ref="J118:J125" si="300">K118+L118+M118</f>
        <v>0</v>
      </c>
      <c r="K118" s="48"/>
      <c r="L118" s="48"/>
      <c r="M118" s="48"/>
      <c r="N118" s="48">
        <f t="shared" ref="N118:N125" si="301">O118+P118+Q118+R118</f>
        <v>100</v>
      </c>
      <c r="O118" s="48">
        <v>100</v>
      </c>
      <c r="P118" s="48"/>
      <c r="Q118" s="48"/>
      <c r="R118" s="48"/>
      <c r="S118" s="48"/>
      <c r="T118" s="48">
        <f t="shared" ref="T118:T125" si="302">U118+V118</f>
        <v>0</v>
      </c>
      <c r="U118" s="48"/>
      <c r="V118" s="48">
        <f t="shared" ref="V118:V125" si="303">W118+X118+Y118+Z118+AA118</f>
        <v>0</v>
      </c>
      <c r="W118" s="48"/>
      <c r="X118" s="48"/>
      <c r="Y118" s="48"/>
      <c r="Z118" s="48"/>
      <c r="AA118" s="48"/>
      <c r="AB118" s="48">
        <f t="shared" ref="AB118:AB125" si="304">I118+T118</f>
        <v>100</v>
      </c>
      <c r="AC118" s="48">
        <f t="shared" ref="AC118:AC125" si="305">H118+AB118</f>
        <v>2100</v>
      </c>
      <c r="AE118" s="242"/>
      <c r="AF118" s="103"/>
    </row>
    <row r="119" spans="1:32" x14ac:dyDescent="0.2">
      <c r="A119" s="25" t="s">
        <v>239</v>
      </c>
      <c r="B119" s="26" t="s">
        <v>22</v>
      </c>
      <c r="C119" s="48"/>
      <c r="D119" s="48"/>
      <c r="E119" s="48"/>
      <c r="F119" s="48"/>
      <c r="G119" s="48"/>
      <c r="H119" s="48">
        <f t="shared" si="298"/>
        <v>0</v>
      </c>
      <c r="I119" s="48">
        <f t="shared" si="299"/>
        <v>2000</v>
      </c>
      <c r="J119" s="48">
        <f t="shared" si="300"/>
        <v>700</v>
      </c>
      <c r="K119" s="48">
        <v>200</v>
      </c>
      <c r="L119" s="48">
        <v>500</v>
      </c>
      <c r="M119" s="48"/>
      <c r="N119" s="48">
        <f t="shared" si="301"/>
        <v>1300</v>
      </c>
      <c r="O119" s="48">
        <v>900</v>
      </c>
      <c r="P119" s="48">
        <v>100</v>
      </c>
      <c r="Q119" s="48">
        <v>300</v>
      </c>
      <c r="R119" s="48"/>
      <c r="S119" s="48"/>
      <c r="T119" s="48">
        <f t="shared" si="302"/>
        <v>0</v>
      </c>
      <c r="U119" s="48"/>
      <c r="V119" s="48">
        <f t="shared" si="303"/>
        <v>0</v>
      </c>
      <c r="W119" s="48"/>
      <c r="X119" s="48"/>
      <c r="Y119" s="48"/>
      <c r="Z119" s="48"/>
      <c r="AA119" s="48"/>
      <c r="AB119" s="48">
        <f t="shared" si="304"/>
        <v>2000</v>
      </c>
      <c r="AC119" s="48">
        <f t="shared" si="305"/>
        <v>2000</v>
      </c>
      <c r="AE119" s="242"/>
      <c r="AF119" s="103"/>
    </row>
    <row r="120" spans="1:32" x14ac:dyDescent="0.2">
      <c r="A120" s="25" t="s">
        <v>240</v>
      </c>
      <c r="B120" s="26" t="s">
        <v>241</v>
      </c>
      <c r="C120" s="48">
        <v>2552.8000000000002</v>
      </c>
      <c r="D120" s="48"/>
      <c r="E120" s="48"/>
      <c r="F120" s="48"/>
      <c r="G120" s="48"/>
      <c r="H120" s="48">
        <f t="shared" si="298"/>
        <v>2552.8000000000002</v>
      </c>
      <c r="I120" s="48">
        <f t="shared" si="299"/>
        <v>800</v>
      </c>
      <c r="J120" s="48">
        <f t="shared" si="300"/>
        <v>750</v>
      </c>
      <c r="K120" s="48">
        <v>200</v>
      </c>
      <c r="L120" s="48">
        <f>50+500</f>
        <v>550</v>
      </c>
      <c r="M120" s="48"/>
      <c r="N120" s="48">
        <f t="shared" si="301"/>
        <v>50</v>
      </c>
      <c r="O120" s="48">
        <v>50</v>
      </c>
      <c r="P120" s="48"/>
      <c r="Q120" s="48"/>
      <c r="R120" s="48"/>
      <c r="S120" s="48"/>
      <c r="T120" s="48">
        <f t="shared" si="302"/>
        <v>0</v>
      </c>
      <c r="U120" s="48"/>
      <c r="V120" s="48">
        <f t="shared" si="303"/>
        <v>0</v>
      </c>
      <c r="W120" s="48"/>
      <c r="X120" s="48"/>
      <c r="Y120" s="48"/>
      <c r="Z120" s="48"/>
      <c r="AA120" s="48"/>
      <c r="AB120" s="48">
        <f t="shared" si="304"/>
        <v>800</v>
      </c>
      <c r="AC120" s="48">
        <f t="shared" si="305"/>
        <v>3352.8</v>
      </c>
      <c r="AE120" s="242"/>
      <c r="AF120" s="103"/>
    </row>
    <row r="121" spans="1:32" x14ac:dyDescent="0.2">
      <c r="A121" s="25" t="s">
        <v>242</v>
      </c>
      <c r="B121" s="26" t="s">
        <v>243</v>
      </c>
      <c r="C121" s="48">
        <v>500</v>
      </c>
      <c r="D121" s="48"/>
      <c r="E121" s="48">
        <v>150</v>
      </c>
      <c r="F121" s="48"/>
      <c r="G121" s="48"/>
      <c r="H121" s="48">
        <f t="shared" si="298"/>
        <v>650</v>
      </c>
      <c r="I121" s="48">
        <f t="shared" si="299"/>
        <v>3400</v>
      </c>
      <c r="J121" s="48">
        <f t="shared" si="300"/>
        <v>350</v>
      </c>
      <c r="K121" s="48">
        <v>150</v>
      </c>
      <c r="L121" s="48">
        <v>200</v>
      </c>
      <c r="M121" s="48"/>
      <c r="N121" s="48">
        <f t="shared" si="301"/>
        <v>3050</v>
      </c>
      <c r="O121" s="48">
        <v>1200</v>
      </c>
      <c r="P121" s="48">
        <v>1350</v>
      </c>
      <c r="Q121" s="48">
        <v>500</v>
      </c>
      <c r="R121" s="48"/>
      <c r="S121" s="48"/>
      <c r="T121" s="48">
        <f t="shared" si="302"/>
        <v>0</v>
      </c>
      <c r="U121" s="48"/>
      <c r="V121" s="48">
        <f t="shared" si="303"/>
        <v>0</v>
      </c>
      <c r="W121" s="48"/>
      <c r="X121" s="48"/>
      <c r="Y121" s="48"/>
      <c r="Z121" s="48"/>
      <c r="AA121" s="48"/>
      <c r="AB121" s="48">
        <f t="shared" si="304"/>
        <v>3400</v>
      </c>
      <c r="AC121" s="48">
        <f t="shared" si="305"/>
        <v>4050</v>
      </c>
      <c r="AE121" s="242"/>
      <c r="AF121" s="103"/>
    </row>
    <row r="122" spans="1:32" x14ac:dyDescent="0.2">
      <c r="A122" s="25" t="s">
        <v>244</v>
      </c>
      <c r="B122" s="26" t="s">
        <v>23</v>
      </c>
      <c r="C122" s="48">
        <v>3000</v>
      </c>
      <c r="D122" s="48"/>
      <c r="E122" s="48"/>
      <c r="F122" s="48"/>
      <c r="G122" s="48"/>
      <c r="H122" s="48">
        <f t="shared" si="298"/>
        <v>3000</v>
      </c>
      <c r="I122" s="48">
        <f t="shared" si="299"/>
        <v>50</v>
      </c>
      <c r="J122" s="48">
        <f t="shared" si="300"/>
        <v>0</v>
      </c>
      <c r="K122" s="48"/>
      <c r="L122" s="48"/>
      <c r="M122" s="48"/>
      <c r="N122" s="48">
        <f t="shared" si="301"/>
        <v>50</v>
      </c>
      <c r="O122" s="48">
        <v>50</v>
      </c>
      <c r="P122" s="48"/>
      <c r="Q122" s="48"/>
      <c r="R122" s="48"/>
      <c r="S122" s="48"/>
      <c r="T122" s="48">
        <f t="shared" si="302"/>
        <v>0</v>
      </c>
      <c r="U122" s="48"/>
      <c r="V122" s="48">
        <f t="shared" si="303"/>
        <v>0</v>
      </c>
      <c r="W122" s="48"/>
      <c r="X122" s="48"/>
      <c r="Y122" s="48"/>
      <c r="Z122" s="48"/>
      <c r="AA122" s="48"/>
      <c r="AB122" s="48">
        <f t="shared" si="304"/>
        <v>50</v>
      </c>
      <c r="AC122" s="48">
        <f t="shared" si="305"/>
        <v>3050</v>
      </c>
      <c r="AE122" s="242"/>
      <c r="AF122" s="103"/>
    </row>
    <row r="123" spans="1:32" x14ac:dyDescent="0.2">
      <c r="A123" s="25" t="s">
        <v>245</v>
      </c>
      <c r="B123" s="26" t="s">
        <v>24</v>
      </c>
      <c r="C123" s="48">
        <v>100</v>
      </c>
      <c r="D123" s="48"/>
      <c r="E123" s="48"/>
      <c r="F123" s="48"/>
      <c r="G123" s="48"/>
      <c r="H123" s="48">
        <f t="shared" si="298"/>
        <v>100</v>
      </c>
      <c r="I123" s="48">
        <f t="shared" si="299"/>
        <v>1750</v>
      </c>
      <c r="J123" s="48">
        <f t="shared" si="300"/>
        <v>0</v>
      </c>
      <c r="K123" s="48"/>
      <c r="L123" s="48"/>
      <c r="M123" s="48"/>
      <c r="N123" s="48">
        <f t="shared" si="301"/>
        <v>1750</v>
      </c>
      <c r="O123" s="48">
        <v>800</v>
      </c>
      <c r="P123" s="48">
        <v>650</v>
      </c>
      <c r="Q123" s="48">
        <v>300</v>
      </c>
      <c r="R123" s="48"/>
      <c r="S123" s="48"/>
      <c r="T123" s="48">
        <f t="shared" si="302"/>
        <v>0</v>
      </c>
      <c r="U123" s="48"/>
      <c r="V123" s="48">
        <f t="shared" si="303"/>
        <v>0</v>
      </c>
      <c r="W123" s="48"/>
      <c r="X123" s="48"/>
      <c r="Y123" s="48"/>
      <c r="Z123" s="48"/>
      <c r="AA123" s="48"/>
      <c r="AB123" s="48">
        <f t="shared" si="304"/>
        <v>1750</v>
      </c>
      <c r="AC123" s="48">
        <f t="shared" si="305"/>
        <v>1850</v>
      </c>
      <c r="AE123" s="242"/>
      <c r="AF123" s="103"/>
    </row>
    <row r="124" spans="1:32" x14ac:dyDescent="0.2">
      <c r="A124" s="25" t="s">
        <v>246</v>
      </c>
      <c r="B124" s="26" t="s">
        <v>25</v>
      </c>
      <c r="C124" s="48">
        <v>242</v>
      </c>
      <c r="D124" s="48"/>
      <c r="E124" s="48"/>
      <c r="F124" s="48"/>
      <c r="G124" s="48"/>
      <c r="H124" s="48">
        <f t="shared" si="298"/>
        <v>242</v>
      </c>
      <c r="I124" s="48">
        <f t="shared" si="299"/>
        <v>620</v>
      </c>
      <c r="J124" s="48">
        <f t="shared" si="300"/>
        <v>100</v>
      </c>
      <c r="K124" s="48">
        <v>100</v>
      </c>
      <c r="L124" s="48"/>
      <c r="M124" s="48"/>
      <c r="N124" s="48">
        <f t="shared" si="301"/>
        <v>520</v>
      </c>
      <c r="O124" s="48">
        <v>20</v>
      </c>
      <c r="P124" s="48"/>
      <c r="Q124" s="48">
        <v>500</v>
      </c>
      <c r="R124" s="48"/>
      <c r="S124" s="48"/>
      <c r="T124" s="48">
        <f t="shared" si="302"/>
        <v>0</v>
      </c>
      <c r="U124" s="48"/>
      <c r="V124" s="48">
        <f t="shared" si="303"/>
        <v>0</v>
      </c>
      <c r="W124" s="48"/>
      <c r="X124" s="48"/>
      <c r="Y124" s="48"/>
      <c r="Z124" s="48"/>
      <c r="AA124" s="48"/>
      <c r="AB124" s="48">
        <f t="shared" si="304"/>
        <v>620</v>
      </c>
      <c r="AC124" s="48">
        <f t="shared" si="305"/>
        <v>862</v>
      </c>
      <c r="AE124" s="242"/>
      <c r="AF124" s="103"/>
    </row>
    <row r="125" spans="1:32" x14ac:dyDescent="0.2">
      <c r="A125" s="25" t="s">
        <v>247</v>
      </c>
      <c r="B125" s="26" t="s">
        <v>508</v>
      </c>
      <c r="C125" s="48"/>
      <c r="D125" s="48"/>
      <c r="E125" s="48"/>
      <c r="F125" s="48"/>
      <c r="G125" s="48">
        <v>322.5</v>
      </c>
      <c r="H125" s="48">
        <f t="shared" si="298"/>
        <v>322.5</v>
      </c>
      <c r="I125" s="48">
        <f t="shared" si="299"/>
        <v>1850</v>
      </c>
      <c r="J125" s="48">
        <f t="shared" si="300"/>
        <v>450</v>
      </c>
      <c r="K125" s="48">
        <v>50</v>
      </c>
      <c r="L125" s="48">
        <v>400</v>
      </c>
      <c r="M125" s="48"/>
      <c r="N125" s="48">
        <f t="shared" si="301"/>
        <v>1400</v>
      </c>
      <c r="O125" s="48">
        <v>700</v>
      </c>
      <c r="P125" s="48"/>
      <c r="Q125" s="48">
        <v>500</v>
      </c>
      <c r="R125" s="48">
        <v>200</v>
      </c>
      <c r="S125" s="48"/>
      <c r="T125" s="48">
        <f t="shared" si="302"/>
        <v>0</v>
      </c>
      <c r="U125" s="48"/>
      <c r="V125" s="48">
        <f t="shared" si="303"/>
        <v>0</v>
      </c>
      <c r="W125" s="48"/>
      <c r="X125" s="48"/>
      <c r="Y125" s="48"/>
      <c r="Z125" s="48"/>
      <c r="AA125" s="48"/>
      <c r="AB125" s="48">
        <f t="shared" si="304"/>
        <v>1850</v>
      </c>
      <c r="AC125" s="48">
        <f t="shared" si="305"/>
        <v>2172.5</v>
      </c>
      <c r="AE125" s="242"/>
      <c r="AF125" s="103"/>
    </row>
    <row r="126" spans="1:32" hidden="1" x14ac:dyDescent="0.2">
      <c r="A126" s="23">
        <v>3</v>
      </c>
      <c r="B126" s="24" t="s">
        <v>248</v>
      </c>
      <c r="C126" s="47">
        <f t="shared" ref="C126:H127" si="306">C127</f>
        <v>0</v>
      </c>
      <c r="D126" s="47">
        <f t="shared" si="306"/>
        <v>0</v>
      </c>
      <c r="E126" s="47">
        <f t="shared" si="306"/>
        <v>0</v>
      </c>
      <c r="F126" s="47">
        <f t="shared" si="306"/>
        <v>0</v>
      </c>
      <c r="G126" s="47">
        <f t="shared" si="306"/>
        <v>0</v>
      </c>
      <c r="H126" s="47">
        <f t="shared" si="306"/>
        <v>0</v>
      </c>
      <c r="I126" s="47">
        <f t="shared" ref="I126:AC127" si="307">I127</f>
        <v>0</v>
      </c>
      <c r="J126" s="47">
        <f t="shared" si="307"/>
        <v>0</v>
      </c>
      <c r="K126" s="47">
        <f t="shared" si="307"/>
        <v>0</v>
      </c>
      <c r="L126" s="47">
        <f t="shared" si="307"/>
        <v>0</v>
      </c>
      <c r="M126" s="47">
        <f t="shared" si="307"/>
        <v>0</v>
      </c>
      <c r="N126" s="47">
        <f t="shared" si="307"/>
        <v>0</v>
      </c>
      <c r="O126" s="47">
        <f t="shared" si="307"/>
        <v>0</v>
      </c>
      <c r="P126" s="47">
        <f t="shared" si="307"/>
        <v>0</v>
      </c>
      <c r="Q126" s="47">
        <f t="shared" si="307"/>
        <v>0</v>
      </c>
      <c r="R126" s="47">
        <f t="shared" si="307"/>
        <v>0</v>
      </c>
      <c r="S126" s="47">
        <f t="shared" si="307"/>
        <v>0</v>
      </c>
      <c r="T126" s="47">
        <f t="shared" si="307"/>
        <v>0</v>
      </c>
      <c r="U126" s="47">
        <f t="shared" si="307"/>
        <v>0</v>
      </c>
      <c r="V126" s="47">
        <f t="shared" si="307"/>
        <v>0</v>
      </c>
      <c r="W126" s="47">
        <f t="shared" si="307"/>
        <v>0</v>
      </c>
      <c r="X126" s="47">
        <f t="shared" si="307"/>
        <v>0</v>
      </c>
      <c r="Y126" s="47">
        <f t="shared" si="307"/>
        <v>0</v>
      </c>
      <c r="Z126" s="47">
        <f t="shared" si="307"/>
        <v>0</v>
      </c>
      <c r="AA126" s="47">
        <f t="shared" si="307"/>
        <v>0</v>
      </c>
      <c r="AB126" s="47">
        <f t="shared" si="307"/>
        <v>0</v>
      </c>
      <c r="AC126" s="47">
        <f t="shared" si="307"/>
        <v>0</v>
      </c>
      <c r="AE126" s="242"/>
      <c r="AF126" s="103"/>
    </row>
    <row r="127" spans="1:32" hidden="1" x14ac:dyDescent="0.2">
      <c r="A127" s="23">
        <v>3.04</v>
      </c>
      <c r="B127" s="24" t="s">
        <v>249</v>
      </c>
      <c r="C127" s="47">
        <f t="shared" si="306"/>
        <v>0</v>
      </c>
      <c r="D127" s="47">
        <f t="shared" si="306"/>
        <v>0</v>
      </c>
      <c r="E127" s="47">
        <f t="shared" si="306"/>
        <v>0</v>
      </c>
      <c r="F127" s="47">
        <f t="shared" si="306"/>
        <v>0</v>
      </c>
      <c r="G127" s="47">
        <f t="shared" si="306"/>
        <v>0</v>
      </c>
      <c r="H127" s="47">
        <f t="shared" si="306"/>
        <v>0</v>
      </c>
      <c r="I127" s="47">
        <f t="shared" si="307"/>
        <v>0</v>
      </c>
      <c r="J127" s="47">
        <f t="shared" si="307"/>
        <v>0</v>
      </c>
      <c r="K127" s="47">
        <f t="shared" si="307"/>
        <v>0</v>
      </c>
      <c r="L127" s="47">
        <f t="shared" si="307"/>
        <v>0</v>
      </c>
      <c r="M127" s="47">
        <f t="shared" si="307"/>
        <v>0</v>
      </c>
      <c r="N127" s="47">
        <f t="shared" si="307"/>
        <v>0</v>
      </c>
      <c r="O127" s="47">
        <f t="shared" si="307"/>
        <v>0</v>
      </c>
      <c r="P127" s="47">
        <f t="shared" si="307"/>
        <v>0</v>
      </c>
      <c r="Q127" s="47">
        <f t="shared" si="307"/>
        <v>0</v>
      </c>
      <c r="R127" s="47">
        <f t="shared" si="307"/>
        <v>0</v>
      </c>
      <c r="S127" s="47">
        <f t="shared" si="307"/>
        <v>0</v>
      </c>
      <c r="T127" s="47">
        <f t="shared" si="307"/>
        <v>0</v>
      </c>
      <c r="U127" s="47">
        <f t="shared" si="307"/>
        <v>0</v>
      </c>
      <c r="V127" s="47">
        <f t="shared" si="307"/>
        <v>0</v>
      </c>
      <c r="W127" s="47">
        <f t="shared" si="307"/>
        <v>0</v>
      </c>
      <c r="X127" s="47">
        <f t="shared" si="307"/>
        <v>0</v>
      </c>
      <c r="Y127" s="47">
        <f t="shared" si="307"/>
        <v>0</v>
      </c>
      <c r="Z127" s="47">
        <f t="shared" si="307"/>
        <v>0</v>
      </c>
      <c r="AA127" s="47">
        <f t="shared" si="307"/>
        <v>0</v>
      </c>
      <c r="AB127" s="47">
        <f t="shared" si="307"/>
        <v>0</v>
      </c>
      <c r="AC127" s="47">
        <f t="shared" si="307"/>
        <v>0</v>
      </c>
      <c r="AE127" s="242"/>
      <c r="AF127" s="103"/>
    </row>
    <row r="128" spans="1:32" hidden="1" x14ac:dyDescent="0.2">
      <c r="A128" s="25" t="s">
        <v>250</v>
      </c>
      <c r="B128" s="26" t="s">
        <v>251</v>
      </c>
      <c r="C128" s="48"/>
      <c r="D128" s="48"/>
      <c r="E128" s="48"/>
      <c r="F128" s="48"/>
      <c r="G128" s="48"/>
      <c r="H128" s="48">
        <f>C128+D128+E128+F128+G128</f>
        <v>0</v>
      </c>
      <c r="I128" s="48">
        <f>J128+N128+S128</f>
        <v>0</v>
      </c>
      <c r="J128" s="48">
        <f>K128+L128+M128</f>
        <v>0</v>
      </c>
      <c r="K128" s="48"/>
      <c r="L128" s="48"/>
      <c r="M128" s="48"/>
      <c r="N128" s="48">
        <f>O128+P128+Q128+R128</f>
        <v>0</v>
      </c>
      <c r="O128" s="48"/>
      <c r="P128" s="48"/>
      <c r="Q128" s="48"/>
      <c r="R128" s="48"/>
      <c r="S128" s="48"/>
      <c r="T128" s="48">
        <f>U128+V128</f>
        <v>0</v>
      </c>
      <c r="U128" s="48"/>
      <c r="V128" s="48">
        <f>W128+X128+Y128+Z128+AA128</f>
        <v>0</v>
      </c>
      <c r="W128" s="48"/>
      <c r="X128" s="48"/>
      <c r="Y128" s="48"/>
      <c r="Z128" s="48"/>
      <c r="AA128" s="48"/>
      <c r="AB128" s="48">
        <f>I128+T128</f>
        <v>0</v>
      </c>
      <c r="AC128" s="48">
        <f>H128+AB128</f>
        <v>0</v>
      </c>
      <c r="AE128" s="242"/>
      <c r="AF128" s="103"/>
    </row>
    <row r="129" spans="1:32" x14ac:dyDescent="0.2">
      <c r="A129" s="23">
        <v>5</v>
      </c>
      <c r="B129" s="24" t="s">
        <v>105</v>
      </c>
      <c r="C129" s="47">
        <f>C130+C139+C144</f>
        <v>0</v>
      </c>
      <c r="D129" s="47">
        <f t="shared" ref="D129:I129" si="308">D130+D139+D144</f>
        <v>350</v>
      </c>
      <c r="E129" s="47">
        <f t="shared" si="308"/>
        <v>0</v>
      </c>
      <c r="F129" s="47">
        <f t="shared" si="308"/>
        <v>1071</v>
      </c>
      <c r="G129" s="47">
        <f t="shared" si="308"/>
        <v>12273.2</v>
      </c>
      <c r="H129" s="47">
        <f t="shared" si="308"/>
        <v>13694.2</v>
      </c>
      <c r="I129" s="47">
        <f t="shared" si="308"/>
        <v>204880.19</v>
      </c>
      <c r="J129" s="47">
        <f t="shared" ref="J129:AC129" si="309">J130+J139+J144</f>
        <v>64612.19</v>
      </c>
      <c r="K129" s="47">
        <f t="shared" si="309"/>
        <v>0</v>
      </c>
      <c r="L129" s="47">
        <f t="shared" si="309"/>
        <v>0</v>
      </c>
      <c r="M129" s="47">
        <f t="shared" si="309"/>
        <v>0</v>
      </c>
      <c r="N129" s="47">
        <f t="shared" si="309"/>
        <v>140268</v>
      </c>
      <c r="O129" s="47">
        <f t="shared" si="309"/>
        <v>0</v>
      </c>
      <c r="P129" s="47">
        <f t="shared" ref="P129:R129" si="310">P130+P139+P144</f>
        <v>110000</v>
      </c>
      <c r="Q129" s="47">
        <f t="shared" si="310"/>
        <v>0</v>
      </c>
      <c r="R129" s="47">
        <f t="shared" si="310"/>
        <v>0</v>
      </c>
      <c r="S129" s="47">
        <f t="shared" ref="S129" si="311">S130+S139+S144</f>
        <v>0</v>
      </c>
      <c r="T129" s="47">
        <f t="shared" si="309"/>
        <v>10077.5</v>
      </c>
      <c r="U129" s="47">
        <f t="shared" ref="U129" si="312">U130+U139+U144</f>
        <v>0</v>
      </c>
      <c r="V129" s="47">
        <f t="shared" si="309"/>
        <v>10077.5</v>
      </c>
      <c r="W129" s="47">
        <f t="shared" si="309"/>
        <v>0</v>
      </c>
      <c r="X129" s="47">
        <f t="shared" si="309"/>
        <v>0</v>
      </c>
      <c r="Y129" s="47">
        <f t="shared" si="309"/>
        <v>0</v>
      </c>
      <c r="Z129" s="47">
        <f t="shared" si="309"/>
        <v>709.5</v>
      </c>
      <c r="AA129" s="47">
        <f>AA130+AA139+AA144</f>
        <v>0</v>
      </c>
      <c r="AB129" s="47">
        <f t="shared" si="309"/>
        <v>214957.69</v>
      </c>
      <c r="AC129" s="47">
        <f t="shared" si="309"/>
        <v>228651.89</v>
      </c>
      <c r="AE129" s="242"/>
      <c r="AF129" s="103"/>
    </row>
    <row r="130" spans="1:32" x14ac:dyDescent="0.2">
      <c r="A130" s="23">
        <v>5.01</v>
      </c>
      <c r="B130" s="24" t="s">
        <v>106</v>
      </c>
      <c r="C130" s="47">
        <f>C131+C132+C133+C134+C135+C136+C137+C138</f>
        <v>0</v>
      </c>
      <c r="D130" s="47">
        <f t="shared" ref="D130:I130" si="313">D131+D132+D133+D134+D135+D136+D137+D138</f>
        <v>350</v>
      </c>
      <c r="E130" s="47">
        <f t="shared" si="313"/>
        <v>0</v>
      </c>
      <c r="F130" s="47">
        <f t="shared" si="313"/>
        <v>1071</v>
      </c>
      <c r="G130" s="47">
        <f t="shared" si="313"/>
        <v>12216</v>
      </c>
      <c r="H130" s="47">
        <f t="shared" si="313"/>
        <v>13637</v>
      </c>
      <c r="I130" s="47">
        <f t="shared" si="313"/>
        <v>94880.19</v>
      </c>
      <c r="J130" s="47">
        <f t="shared" ref="J130:AC130" si="314">J131+J132+J133+J134+J135+J136+J137+J138</f>
        <v>64612.19</v>
      </c>
      <c r="K130" s="47">
        <f t="shared" si="314"/>
        <v>0</v>
      </c>
      <c r="L130" s="47">
        <f t="shared" si="314"/>
        <v>0</v>
      </c>
      <c r="M130" s="47">
        <f t="shared" si="314"/>
        <v>0</v>
      </c>
      <c r="N130" s="47">
        <f t="shared" si="314"/>
        <v>30268</v>
      </c>
      <c r="O130" s="47">
        <f t="shared" si="314"/>
        <v>0</v>
      </c>
      <c r="P130" s="47">
        <f t="shared" ref="P130:R130" si="315">P131+P132+P133+P134+P135+P136+P137+P138</f>
        <v>0</v>
      </c>
      <c r="Q130" s="47">
        <f t="shared" si="315"/>
        <v>0</v>
      </c>
      <c r="R130" s="47">
        <f t="shared" si="315"/>
        <v>0</v>
      </c>
      <c r="S130" s="47">
        <f t="shared" ref="S130" si="316">S131+S132+S133+S134+S135+S136+S137+S138</f>
        <v>0</v>
      </c>
      <c r="T130" s="47">
        <f t="shared" si="314"/>
        <v>9368</v>
      </c>
      <c r="U130" s="47">
        <f t="shared" ref="U130" si="317">U131+U132+U133+U134+U135+U136+U137+U138</f>
        <v>0</v>
      </c>
      <c r="V130" s="47">
        <f t="shared" si="314"/>
        <v>9368</v>
      </c>
      <c r="W130" s="47">
        <f t="shared" si="314"/>
        <v>0</v>
      </c>
      <c r="X130" s="47">
        <f t="shared" si="314"/>
        <v>0</v>
      </c>
      <c r="Y130" s="47">
        <f t="shared" si="314"/>
        <v>0</v>
      </c>
      <c r="Z130" s="47">
        <f t="shared" si="314"/>
        <v>0</v>
      </c>
      <c r="AA130" s="47">
        <f>AA131+AA132+AA133+AA134+AA135+AA136+AA137+AA138</f>
        <v>0</v>
      </c>
      <c r="AB130" s="47">
        <f t="shared" si="314"/>
        <v>104248.19</v>
      </c>
      <c r="AC130" s="47">
        <f t="shared" si="314"/>
        <v>117885.19</v>
      </c>
      <c r="AE130" s="242"/>
      <c r="AF130" s="103"/>
    </row>
    <row r="131" spans="1:32" x14ac:dyDescent="0.2">
      <c r="A131" s="25" t="s">
        <v>123</v>
      </c>
      <c r="B131" s="26" t="s">
        <v>129</v>
      </c>
      <c r="C131" s="48"/>
      <c r="D131" s="48"/>
      <c r="E131" s="48"/>
      <c r="F131" s="48"/>
      <c r="G131" s="48"/>
      <c r="H131" s="48">
        <f t="shared" ref="H131:H138" si="318">C131+D131+E131+F131+G131</f>
        <v>0</v>
      </c>
      <c r="I131" s="48">
        <f t="shared" ref="I131:I138" si="319">J131+N131+S131</f>
        <v>4100</v>
      </c>
      <c r="J131" s="48">
        <f t="shared" ref="J131:J137" si="320">K131+L131+M131</f>
        <v>0</v>
      </c>
      <c r="K131" s="48"/>
      <c r="L131" s="48"/>
      <c r="M131" s="48"/>
      <c r="N131" s="48">
        <f>O131+P131+Q131+R131+4100</f>
        <v>4100</v>
      </c>
      <c r="O131" s="48"/>
      <c r="P131" s="48"/>
      <c r="Q131" s="48"/>
      <c r="R131" s="48"/>
      <c r="S131" s="48"/>
      <c r="T131" s="48">
        <f t="shared" ref="T131:T138" si="321">U131+V131</f>
        <v>570</v>
      </c>
      <c r="U131" s="48"/>
      <c r="V131" s="48">
        <f>W131+X131+Y131+Z131+AA131+570</f>
        <v>570</v>
      </c>
      <c r="W131" s="48"/>
      <c r="X131" s="48"/>
      <c r="Y131" s="48"/>
      <c r="Z131" s="48"/>
      <c r="AA131" s="48"/>
      <c r="AB131" s="48">
        <f>I131+T131</f>
        <v>4670</v>
      </c>
      <c r="AC131" s="48">
        <f t="shared" ref="AC131:AC138" si="322">H131+AB131</f>
        <v>4670</v>
      </c>
      <c r="AE131" s="242"/>
      <c r="AF131" s="103"/>
    </row>
    <row r="132" spans="1:32" hidden="1" x14ac:dyDescent="0.2">
      <c r="A132" s="25" t="s">
        <v>124</v>
      </c>
      <c r="B132" s="26" t="s">
        <v>130</v>
      </c>
      <c r="C132" s="48"/>
      <c r="D132" s="48"/>
      <c r="E132" s="48"/>
      <c r="F132" s="48"/>
      <c r="G132" s="48"/>
      <c r="H132" s="48">
        <f t="shared" si="318"/>
        <v>0</v>
      </c>
      <c r="I132" s="48">
        <f t="shared" si="319"/>
        <v>0</v>
      </c>
      <c r="J132" s="48">
        <f t="shared" si="320"/>
        <v>0</v>
      </c>
      <c r="K132" s="48"/>
      <c r="L132" s="48"/>
      <c r="M132" s="48"/>
      <c r="N132" s="48">
        <f t="shared" ref="N132" si="323">O132+P132+Q132+R132</f>
        <v>0</v>
      </c>
      <c r="O132" s="48"/>
      <c r="P132" s="48"/>
      <c r="Q132" s="48"/>
      <c r="R132" s="48"/>
      <c r="S132" s="48"/>
      <c r="T132" s="48">
        <f t="shared" si="321"/>
        <v>0</v>
      </c>
      <c r="U132" s="48"/>
      <c r="V132" s="48">
        <f t="shared" ref="V132:V137" si="324">W132+X132+Y132+Z132+AA132</f>
        <v>0</v>
      </c>
      <c r="W132" s="48"/>
      <c r="X132" s="48"/>
      <c r="Y132" s="48"/>
      <c r="Z132" s="48"/>
      <c r="AA132" s="48"/>
      <c r="AB132" s="48">
        <f t="shared" ref="AB132" si="325">I132+T132</f>
        <v>0</v>
      </c>
      <c r="AC132" s="48">
        <f t="shared" si="322"/>
        <v>0</v>
      </c>
      <c r="AE132" s="242"/>
      <c r="AF132" s="103"/>
    </row>
    <row r="133" spans="1:32" x14ac:dyDescent="0.2">
      <c r="A133" s="25" t="s">
        <v>85</v>
      </c>
      <c r="B133" s="26" t="s">
        <v>107</v>
      </c>
      <c r="C133" s="48"/>
      <c r="D133" s="48"/>
      <c r="E133" s="48"/>
      <c r="F133" s="48"/>
      <c r="G133" s="48">
        <v>2900</v>
      </c>
      <c r="H133" s="48">
        <f t="shared" si="318"/>
        <v>2900</v>
      </c>
      <c r="I133" s="48">
        <f t="shared" si="319"/>
        <v>1325</v>
      </c>
      <c r="J133" s="48">
        <f t="shared" si="320"/>
        <v>0</v>
      </c>
      <c r="K133" s="48"/>
      <c r="L133" s="48"/>
      <c r="M133" s="48"/>
      <c r="N133" s="48">
        <f>O133+P133+Q133+R133+1325</f>
        <v>1325</v>
      </c>
      <c r="O133" s="48"/>
      <c r="P133" s="48"/>
      <c r="Q133" s="48"/>
      <c r="R133" s="48"/>
      <c r="S133" s="48"/>
      <c r="T133" s="48">
        <f t="shared" si="321"/>
        <v>70</v>
      </c>
      <c r="U133" s="48"/>
      <c r="V133" s="48">
        <f>W133+X133+Y133+Z133+AA133+70</f>
        <v>70</v>
      </c>
      <c r="W133" s="48"/>
      <c r="X133" s="48"/>
      <c r="Y133" s="48"/>
      <c r="Z133" s="48"/>
      <c r="AA133" s="48"/>
      <c r="AB133" s="48">
        <f t="shared" ref="AB133:AB138" si="326">I133+T133</f>
        <v>1395</v>
      </c>
      <c r="AC133" s="48">
        <f t="shared" si="322"/>
        <v>4295</v>
      </c>
      <c r="AE133" s="242"/>
      <c r="AF133" s="103"/>
    </row>
    <row r="134" spans="1:32" x14ac:dyDescent="0.2">
      <c r="A134" s="25" t="s">
        <v>252</v>
      </c>
      <c r="B134" s="26" t="s">
        <v>253</v>
      </c>
      <c r="C134" s="48"/>
      <c r="D134" s="48">
        <v>350</v>
      </c>
      <c r="E134" s="48"/>
      <c r="F134" s="48">
        <v>261</v>
      </c>
      <c r="G134" s="48">
        <v>1800</v>
      </c>
      <c r="H134" s="48">
        <f t="shared" si="318"/>
        <v>2411</v>
      </c>
      <c r="I134" s="48">
        <f t="shared" si="319"/>
        <v>8799</v>
      </c>
      <c r="J134" s="48">
        <f>K134+L134+M134+3780</f>
        <v>3780</v>
      </c>
      <c r="K134" s="48"/>
      <c r="L134" s="48"/>
      <c r="M134" s="48"/>
      <c r="N134" s="48">
        <f>O134+P134+Q134+R134+5019</f>
        <v>5019</v>
      </c>
      <c r="O134" s="48"/>
      <c r="P134" s="48"/>
      <c r="Q134" s="48"/>
      <c r="R134" s="48"/>
      <c r="S134" s="48"/>
      <c r="T134" s="48">
        <f t="shared" si="321"/>
        <v>600</v>
      </c>
      <c r="U134" s="48"/>
      <c r="V134" s="48">
        <f>W134+X134+Y134+Z134+AA134+600</f>
        <v>600</v>
      </c>
      <c r="W134" s="48"/>
      <c r="X134" s="48"/>
      <c r="Y134" s="48"/>
      <c r="Z134" s="48"/>
      <c r="AA134" s="48"/>
      <c r="AB134" s="48">
        <f t="shared" si="326"/>
        <v>9399</v>
      </c>
      <c r="AC134" s="48">
        <f t="shared" si="322"/>
        <v>11810</v>
      </c>
      <c r="AE134" s="242"/>
      <c r="AF134" s="103"/>
    </row>
    <row r="135" spans="1:32" s="32" customFormat="1" x14ac:dyDescent="0.2">
      <c r="A135" s="27" t="s">
        <v>86</v>
      </c>
      <c r="B135" s="41" t="s">
        <v>509</v>
      </c>
      <c r="C135" s="48"/>
      <c r="D135" s="48"/>
      <c r="E135" s="48"/>
      <c r="F135" s="48">
        <v>810</v>
      </c>
      <c r="G135" s="48">
        <v>7436</v>
      </c>
      <c r="H135" s="48">
        <f t="shared" si="318"/>
        <v>8246</v>
      </c>
      <c r="I135" s="48">
        <f t="shared" si="319"/>
        <v>6796</v>
      </c>
      <c r="J135" s="48">
        <f>K135+L135+M135+1016</f>
        <v>1016</v>
      </c>
      <c r="K135" s="48"/>
      <c r="L135" s="48"/>
      <c r="M135" s="48"/>
      <c r="N135" s="48">
        <f>O135+P135+Q135+R135+5780</f>
        <v>5780</v>
      </c>
      <c r="O135" s="48"/>
      <c r="P135" s="48"/>
      <c r="Q135" s="48"/>
      <c r="R135" s="48"/>
      <c r="S135" s="48"/>
      <c r="T135" s="48">
        <f t="shared" si="321"/>
        <v>6380</v>
      </c>
      <c r="U135" s="48"/>
      <c r="V135" s="48">
        <f>W135+X135+Y135+Z135+AA135+6380</f>
        <v>6380</v>
      </c>
      <c r="W135" s="48"/>
      <c r="X135" s="48"/>
      <c r="Y135" s="48"/>
      <c r="Z135" s="48"/>
      <c r="AA135" s="48"/>
      <c r="AB135" s="48">
        <f t="shared" si="326"/>
        <v>13176</v>
      </c>
      <c r="AC135" s="48">
        <f t="shared" si="322"/>
        <v>21422</v>
      </c>
      <c r="AE135" s="243"/>
      <c r="AF135" s="103"/>
    </row>
    <row r="136" spans="1:32" x14ac:dyDescent="0.2">
      <c r="A136" s="25" t="s">
        <v>115</v>
      </c>
      <c r="B136" s="26" t="s">
        <v>510</v>
      </c>
      <c r="C136" s="48"/>
      <c r="D136" s="48"/>
      <c r="E136" s="48"/>
      <c r="F136" s="48"/>
      <c r="G136" s="48"/>
      <c r="H136" s="48">
        <f t="shared" si="318"/>
        <v>0</v>
      </c>
      <c r="I136" s="48">
        <f t="shared" si="319"/>
        <v>67415.19</v>
      </c>
      <c r="J136" s="48">
        <f>K136+L136+M136+58616.19</f>
        <v>58616.19</v>
      </c>
      <c r="K136" s="48"/>
      <c r="L136" s="48"/>
      <c r="M136" s="48"/>
      <c r="N136" s="48">
        <f>O136+P136+Q136+R136+8799</f>
        <v>8799</v>
      </c>
      <c r="O136" s="48"/>
      <c r="P136" s="48"/>
      <c r="Q136" s="48"/>
      <c r="R136" s="48"/>
      <c r="S136" s="48"/>
      <c r="T136" s="48">
        <f t="shared" si="321"/>
        <v>0</v>
      </c>
      <c r="U136" s="48"/>
      <c r="V136" s="48">
        <f t="shared" si="324"/>
        <v>0</v>
      </c>
      <c r="W136" s="48"/>
      <c r="X136" s="48"/>
      <c r="Y136" s="48"/>
      <c r="Z136" s="48"/>
      <c r="AA136" s="48"/>
      <c r="AB136" s="48">
        <f t="shared" si="326"/>
        <v>67415.19</v>
      </c>
      <c r="AC136" s="48">
        <f t="shared" si="322"/>
        <v>67415.19</v>
      </c>
      <c r="AE136" s="242"/>
      <c r="AF136" s="103"/>
    </row>
    <row r="137" spans="1:32" x14ac:dyDescent="0.2">
      <c r="A137" s="25" t="s">
        <v>254</v>
      </c>
      <c r="B137" s="26" t="s">
        <v>511</v>
      </c>
      <c r="C137" s="48"/>
      <c r="D137" s="48"/>
      <c r="E137" s="48"/>
      <c r="F137" s="48"/>
      <c r="G137" s="48">
        <v>80</v>
      </c>
      <c r="H137" s="48">
        <f t="shared" si="318"/>
        <v>80</v>
      </c>
      <c r="I137" s="48">
        <f t="shared" si="319"/>
        <v>60</v>
      </c>
      <c r="J137" s="48">
        <f t="shared" si="320"/>
        <v>0</v>
      </c>
      <c r="K137" s="48"/>
      <c r="L137" s="48"/>
      <c r="M137" s="48"/>
      <c r="N137" s="48">
        <f>O137+P137+Q137+R137+60</f>
        <v>60</v>
      </c>
      <c r="O137" s="48"/>
      <c r="P137" s="48"/>
      <c r="Q137" s="48"/>
      <c r="R137" s="48"/>
      <c r="S137" s="48"/>
      <c r="T137" s="48">
        <f t="shared" si="321"/>
        <v>0</v>
      </c>
      <c r="U137" s="48"/>
      <c r="V137" s="48">
        <f t="shared" si="324"/>
        <v>0</v>
      </c>
      <c r="W137" s="48"/>
      <c r="X137" s="48"/>
      <c r="Y137" s="48"/>
      <c r="Z137" s="48"/>
      <c r="AA137" s="48"/>
      <c r="AB137" s="48">
        <f t="shared" si="326"/>
        <v>60</v>
      </c>
      <c r="AC137" s="48">
        <f t="shared" si="322"/>
        <v>140</v>
      </c>
      <c r="AE137" s="242"/>
      <c r="AF137" s="103"/>
    </row>
    <row r="138" spans="1:32" x14ac:dyDescent="0.2">
      <c r="A138" s="25" t="s">
        <v>255</v>
      </c>
      <c r="B138" s="26" t="s">
        <v>512</v>
      </c>
      <c r="C138" s="48"/>
      <c r="D138" s="48"/>
      <c r="E138" s="48"/>
      <c r="F138" s="48"/>
      <c r="G138" s="48"/>
      <c r="H138" s="48">
        <f t="shared" si="318"/>
        <v>0</v>
      </c>
      <c r="I138" s="48">
        <f t="shared" si="319"/>
        <v>6385</v>
      </c>
      <c r="J138" s="48">
        <f>K138+L138+M138+1200</f>
        <v>1200</v>
      </c>
      <c r="K138" s="48"/>
      <c r="L138" s="48"/>
      <c r="M138" s="48"/>
      <c r="N138" s="48">
        <f>O138+P138+Q138+R138+5185</f>
        <v>5185</v>
      </c>
      <c r="O138" s="48"/>
      <c r="P138" s="48"/>
      <c r="Q138" s="48"/>
      <c r="R138" s="48"/>
      <c r="S138" s="48"/>
      <c r="T138" s="48">
        <f t="shared" si="321"/>
        <v>1748</v>
      </c>
      <c r="U138" s="48"/>
      <c r="V138" s="48">
        <f>W138+X138+Y138+Z138+AA138+1748</f>
        <v>1748</v>
      </c>
      <c r="W138" s="48"/>
      <c r="X138" s="48"/>
      <c r="Y138" s="48"/>
      <c r="Z138" s="48"/>
      <c r="AA138" s="48"/>
      <c r="AB138" s="48">
        <f t="shared" si="326"/>
        <v>8133</v>
      </c>
      <c r="AC138" s="48">
        <f t="shared" si="322"/>
        <v>8133</v>
      </c>
      <c r="AE138" s="242"/>
      <c r="AF138" s="103"/>
    </row>
    <row r="139" spans="1:32" x14ac:dyDescent="0.2">
      <c r="A139" s="23">
        <v>5.0199999999999996</v>
      </c>
      <c r="B139" s="24" t="s">
        <v>131</v>
      </c>
      <c r="C139" s="47">
        <f>C140+C141+C142+C143</f>
        <v>0</v>
      </c>
      <c r="D139" s="47">
        <f t="shared" ref="D139:I139" si="327">D140+D141+D142+D143</f>
        <v>0</v>
      </c>
      <c r="E139" s="47">
        <f t="shared" si="327"/>
        <v>0</v>
      </c>
      <c r="F139" s="47">
        <f t="shared" si="327"/>
        <v>0</v>
      </c>
      <c r="G139" s="47">
        <f t="shared" si="327"/>
        <v>0</v>
      </c>
      <c r="H139" s="47">
        <f t="shared" si="327"/>
        <v>0</v>
      </c>
      <c r="I139" s="47">
        <f t="shared" si="327"/>
        <v>110000</v>
      </c>
      <c r="J139" s="47">
        <f t="shared" ref="J139:AC139" si="328">J140+J141+J142+J143</f>
        <v>0</v>
      </c>
      <c r="K139" s="47">
        <f t="shared" si="328"/>
        <v>0</v>
      </c>
      <c r="L139" s="47">
        <f t="shared" si="328"/>
        <v>0</v>
      </c>
      <c r="M139" s="47">
        <f t="shared" si="328"/>
        <v>0</v>
      </c>
      <c r="N139" s="47">
        <f t="shared" si="328"/>
        <v>110000</v>
      </c>
      <c r="O139" s="47">
        <f t="shared" si="328"/>
        <v>0</v>
      </c>
      <c r="P139" s="47">
        <f t="shared" ref="P139:R139" si="329">P140+P141+P142+P143</f>
        <v>110000</v>
      </c>
      <c r="Q139" s="47">
        <f t="shared" si="329"/>
        <v>0</v>
      </c>
      <c r="R139" s="47">
        <f t="shared" si="329"/>
        <v>0</v>
      </c>
      <c r="S139" s="47">
        <f t="shared" ref="S139" si="330">S140+S141+S142+S143</f>
        <v>0</v>
      </c>
      <c r="T139" s="47">
        <f t="shared" si="328"/>
        <v>0</v>
      </c>
      <c r="U139" s="47">
        <f t="shared" ref="U139" si="331">U140+U141+U142+U143</f>
        <v>0</v>
      </c>
      <c r="V139" s="47">
        <f t="shared" si="328"/>
        <v>0</v>
      </c>
      <c r="W139" s="47">
        <f t="shared" si="328"/>
        <v>0</v>
      </c>
      <c r="X139" s="47">
        <f t="shared" si="328"/>
        <v>0</v>
      </c>
      <c r="Y139" s="47">
        <f t="shared" si="328"/>
        <v>0</v>
      </c>
      <c r="Z139" s="47">
        <f t="shared" si="328"/>
        <v>0</v>
      </c>
      <c r="AA139" s="47">
        <f>AA140+AA141+AA142+AA143</f>
        <v>0</v>
      </c>
      <c r="AB139" s="47">
        <f t="shared" si="328"/>
        <v>110000</v>
      </c>
      <c r="AC139" s="47">
        <f t="shared" si="328"/>
        <v>110000</v>
      </c>
      <c r="AE139" s="242"/>
      <c r="AF139" s="103"/>
    </row>
    <row r="140" spans="1:32" s="32" customFormat="1" x14ac:dyDescent="0.2">
      <c r="A140" s="157" t="s">
        <v>32</v>
      </c>
      <c r="B140" s="125" t="s">
        <v>33</v>
      </c>
      <c r="C140" s="48"/>
      <c r="D140" s="48"/>
      <c r="E140" s="48"/>
      <c r="F140" s="48"/>
      <c r="G140" s="48"/>
      <c r="H140" s="48">
        <f t="shared" ref="H140:H143" si="332">C140+D140+E140+F140+G140</f>
        <v>0</v>
      </c>
      <c r="I140" s="48">
        <f t="shared" ref="I140:I143" si="333">J140+N140+S140</f>
        <v>105000</v>
      </c>
      <c r="J140" s="48">
        <f t="shared" ref="J140:J143" si="334">K140+L140+M140</f>
        <v>0</v>
      </c>
      <c r="K140" s="48"/>
      <c r="L140" s="48"/>
      <c r="M140" s="48"/>
      <c r="N140" s="48">
        <f t="shared" ref="N140:N143" si="335">O140+P140+Q140+R140</f>
        <v>105000</v>
      </c>
      <c r="O140" s="48"/>
      <c r="P140" s="48">
        <v>105000</v>
      </c>
      <c r="Q140" s="48"/>
      <c r="R140" s="48"/>
      <c r="S140" s="48"/>
      <c r="T140" s="48">
        <f t="shared" ref="T140:T143" si="336">U140+V140</f>
        <v>0</v>
      </c>
      <c r="U140" s="48"/>
      <c r="V140" s="48">
        <f t="shared" ref="V140:V143" si="337">W140+X140+Y140+Z140+AA140</f>
        <v>0</v>
      </c>
      <c r="W140" s="48"/>
      <c r="X140" s="48"/>
      <c r="Y140" s="48"/>
      <c r="Z140" s="48"/>
      <c r="AA140" s="48"/>
      <c r="AB140" s="48">
        <f t="shared" ref="AB140:AB143" si="338">I140+T140</f>
        <v>105000</v>
      </c>
      <c r="AC140" s="48">
        <f t="shared" ref="AC140:AC143" si="339">H140+AB140</f>
        <v>105000</v>
      </c>
      <c r="AE140" s="243"/>
      <c r="AF140" s="103"/>
    </row>
    <row r="141" spans="1:32" s="32" customFormat="1" hidden="1" x14ac:dyDescent="0.2">
      <c r="A141" s="157" t="s">
        <v>34</v>
      </c>
      <c r="B141" s="125" t="s">
        <v>35</v>
      </c>
      <c r="C141" s="48"/>
      <c r="D141" s="48"/>
      <c r="E141" s="48"/>
      <c r="F141" s="48"/>
      <c r="G141" s="48"/>
      <c r="H141" s="48">
        <f t="shared" si="332"/>
        <v>0</v>
      </c>
      <c r="I141" s="48">
        <f t="shared" si="333"/>
        <v>0</v>
      </c>
      <c r="J141" s="48">
        <f t="shared" si="334"/>
        <v>0</v>
      </c>
      <c r="K141" s="48"/>
      <c r="L141" s="48"/>
      <c r="M141" s="48"/>
      <c r="N141" s="48">
        <f t="shared" si="335"/>
        <v>0</v>
      </c>
      <c r="O141" s="48"/>
      <c r="P141" s="48"/>
      <c r="Q141" s="48"/>
      <c r="R141" s="48"/>
      <c r="S141" s="48"/>
      <c r="T141" s="48">
        <f t="shared" si="336"/>
        <v>0</v>
      </c>
      <c r="U141" s="48"/>
      <c r="V141" s="48">
        <f t="shared" si="337"/>
        <v>0</v>
      </c>
      <c r="W141" s="48"/>
      <c r="X141" s="48"/>
      <c r="Y141" s="48"/>
      <c r="Z141" s="48"/>
      <c r="AA141" s="48"/>
      <c r="AB141" s="48">
        <f t="shared" si="338"/>
        <v>0</v>
      </c>
      <c r="AC141" s="48">
        <f t="shared" si="339"/>
        <v>0</v>
      </c>
      <c r="AE141" s="243"/>
      <c r="AF141" s="103"/>
    </row>
    <row r="142" spans="1:32" s="32" customFormat="1" hidden="1" x14ac:dyDescent="0.2">
      <c r="A142" s="157" t="s">
        <v>36</v>
      </c>
      <c r="B142" s="125" t="s">
        <v>37</v>
      </c>
      <c r="C142" s="48"/>
      <c r="D142" s="48"/>
      <c r="E142" s="48"/>
      <c r="F142" s="48"/>
      <c r="G142" s="48"/>
      <c r="H142" s="48">
        <f t="shared" si="332"/>
        <v>0</v>
      </c>
      <c r="I142" s="48">
        <f t="shared" si="333"/>
        <v>0</v>
      </c>
      <c r="J142" s="48">
        <f t="shared" si="334"/>
        <v>0</v>
      </c>
      <c r="K142" s="48"/>
      <c r="L142" s="48"/>
      <c r="M142" s="48"/>
      <c r="N142" s="48">
        <f t="shared" si="335"/>
        <v>0</v>
      </c>
      <c r="O142" s="48"/>
      <c r="P142" s="48"/>
      <c r="Q142" s="48"/>
      <c r="R142" s="48"/>
      <c r="S142" s="48"/>
      <c r="T142" s="48">
        <f t="shared" si="336"/>
        <v>0</v>
      </c>
      <c r="U142" s="48"/>
      <c r="V142" s="48">
        <f t="shared" si="337"/>
        <v>0</v>
      </c>
      <c r="W142" s="48"/>
      <c r="X142" s="48"/>
      <c r="Y142" s="48"/>
      <c r="Z142" s="48"/>
      <c r="AA142" s="48"/>
      <c r="AB142" s="48">
        <f t="shared" si="338"/>
        <v>0</v>
      </c>
      <c r="AC142" s="48">
        <f t="shared" si="339"/>
        <v>0</v>
      </c>
      <c r="AE142" s="243"/>
      <c r="AF142" s="103"/>
    </row>
    <row r="143" spans="1:32" x14ac:dyDescent="0.2">
      <c r="A143" s="25" t="s">
        <v>125</v>
      </c>
      <c r="B143" s="26" t="s">
        <v>132</v>
      </c>
      <c r="C143" s="48"/>
      <c r="D143" s="48"/>
      <c r="E143" s="48"/>
      <c r="F143" s="48"/>
      <c r="G143" s="48"/>
      <c r="H143" s="48">
        <f t="shared" si="332"/>
        <v>0</v>
      </c>
      <c r="I143" s="48">
        <f t="shared" si="333"/>
        <v>5000</v>
      </c>
      <c r="J143" s="48">
        <f t="shared" si="334"/>
        <v>0</v>
      </c>
      <c r="K143" s="48"/>
      <c r="L143" s="48"/>
      <c r="M143" s="48"/>
      <c r="N143" s="48">
        <f t="shared" si="335"/>
        <v>5000</v>
      </c>
      <c r="O143" s="48"/>
      <c r="P143" s="48">
        <v>5000</v>
      </c>
      <c r="Q143" s="48"/>
      <c r="R143" s="48"/>
      <c r="S143" s="48"/>
      <c r="T143" s="48">
        <f t="shared" si="336"/>
        <v>0</v>
      </c>
      <c r="U143" s="48"/>
      <c r="V143" s="48">
        <f t="shared" si="337"/>
        <v>0</v>
      </c>
      <c r="W143" s="48"/>
      <c r="X143" s="48"/>
      <c r="Y143" s="48"/>
      <c r="Z143" s="48"/>
      <c r="AA143" s="48"/>
      <c r="AB143" s="48">
        <f t="shared" si="338"/>
        <v>5000</v>
      </c>
      <c r="AC143" s="48">
        <f t="shared" si="339"/>
        <v>5000</v>
      </c>
      <c r="AE143" s="242"/>
      <c r="AF143" s="103"/>
    </row>
    <row r="144" spans="1:32" x14ac:dyDescent="0.2">
      <c r="A144" s="23">
        <v>5.99</v>
      </c>
      <c r="B144" s="24" t="s">
        <v>256</v>
      </c>
      <c r="C144" s="47">
        <f>C145+C146</f>
        <v>0</v>
      </c>
      <c r="D144" s="47">
        <f t="shared" ref="D144:AC144" si="340">D145+D146</f>
        <v>0</v>
      </c>
      <c r="E144" s="47">
        <f t="shared" si="340"/>
        <v>0</v>
      </c>
      <c r="F144" s="47">
        <f t="shared" si="340"/>
        <v>0</v>
      </c>
      <c r="G144" s="47">
        <f t="shared" si="340"/>
        <v>57.2</v>
      </c>
      <c r="H144" s="47">
        <f t="shared" si="340"/>
        <v>57.2</v>
      </c>
      <c r="I144" s="47">
        <f t="shared" si="340"/>
        <v>0</v>
      </c>
      <c r="J144" s="47">
        <f t="shared" si="340"/>
        <v>0</v>
      </c>
      <c r="K144" s="47">
        <f t="shared" si="340"/>
        <v>0</v>
      </c>
      <c r="L144" s="47">
        <f t="shared" si="340"/>
        <v>0</v>
      </c>
      <c r="M144" s="47">
        <f t="shared" si="340"/>
        <v>0</v>
      </c>
      <c r="N144" s="47">
        <f t="shared" si="340"/>
        <v>0</v>
      </c>
      <c r="O144" s="47">
        <f t="shared" si="340"/>
        <v>0</v>
      </c>
      <c r="P144" s="47">
        <f t="shared" si="340"/>
        <v>0</v>
      </c>
      <c r="Q144" s="47">
        <f t="shared" si="340"/>
        <v>0</v>
      </c>
      <c r="R144" s="47">
        <f t="shared" si="340"/>
        <v>0</v>
      </c>
      <c r="S144" s="47">
        <f t="shared" si="340"/>
        <v>0</v>
      </c>
      <c r="T144" s="47">
        <f t="shared" si="340"/>
        <v>709.5</v>
      </c>
      <c r="U144" s="47">
        <f t="shared" si="340"/>
        <v>0</v>
      </c>
      <c r="V144" s="47">
        <f t="shared" si="340"/>
        <v>709.5</v>
      </c>
      <c r="W144" s="47">
        <f t="shared" si="340"/>
        <v>0</v>
      </c>
      <c r="X144" s="47">
        <f t="shared" si="340"/>
        <v>0</v>
      </c>
      <c r="Y144" s="47">
        <f t="shared" si="340"/>
        <v>0</v>
      </c>
      <c r="Z144" s="47">
        <f t="shared" si="340"/>
        <v>709.5</v>
      </c>
      <c r="AA144" s="47">
        <f t="shared" si="340"/>
        <v>0</v>
      </c>
      <c r="AB144" s="47">
        <f t="shared" si="340"/>
        <v>709.5</v>
      </c>
      <c r="AC144" s="47">
        <f t="shared" si="340"/>
        <v>766.7</v>
      </c>
      <c r="AE144" s="242"/>
      <c r="AF144" s="103"/>
    </row>
    <row r="145" spans="1:32" hidden="1" x14ac:dyDescent="0.2">
      <c r="A145" s="25" t="s">
        <v>257</v>
      </c>
      <c r="B145" s="26" t="s">
        <v>258</v>
      </c>
      <c r="C145" s="48"/>
      <c r="D145" s="48"/>
      <c r="E145" s="48"/>
      <c r="F145" s="48"/>
      <c r="G145" s="48"/>
      <c r="H145" s="48">
        <f>C145+D145+E145+F145+G145</f>
        <v>0</v>
      </c>
      <c r="I145" s="48">
        <f>J145+N145+S145</f>
        <v>0</v>
      </c>
      <c r="J145" s="48">
        <f>K145+L145+M145</f>
        <v>0</v>
      </c>
      <c r="K145" s="48"/>
      <c r="L145" s="48"/>
      <c r="M145" s="48"/>
      <c r="N145" s="48">
        <f>O145+P145+Q145+R145</f>
        <v>0</v>
      </c>
      <c r="O145" s="48"/>
      <c r="P145" s="48"/>
      <c r="Q145" s="48"/>
      <c r="R145" s="48"/>
      <c r="S145" s="48"/>
      <c r="T145" s="48">
        <f>U145+V145</f>
        <v>0</v>
      </c>
      <c r="U145" s="48"/>
      <c r="V145" s="48">
        <f>W145+X145+Y145+Z145+AA145</f>
        <v>0</v>
      </c>
      <c r="W145" s="48"/>
      <c r="X145" s="48"/>
      <c r="Y145" s="48"/>
      <c r="Z145" s="48"/>
      <c r="AA145" s="48"/>
      <c r="AB145" s="48">
        <f>I145+T145</f>
        <v>0</v>
      </c>
      <c r="AC145" s="48">
        <f>H145+AB145</f>
        <v>0</v>
      </c>
      <c r="AE145" s="242"/>
      <c r="AF145" s="103"/>
    </row>
    <row r="146" spans="1:32" s="32" customFormat="1" x14ac:dyDescent="0.2">
      <c r="A146" s="27" t="s">
        <v>513</v>
      </c>
      <c r="B146" s="41" t="s">
        <v>514</v>
      </c>
      <c r="C146" s="48"/>
      <c r="D146" s="48"/>
      <c r="E146" s="48"/>
      <c r="F146" s="48"/>
      <c r="G146" s="48">
        <v>57.2</v>
      </c>
      <c r="H146" s="48">
        <f>C146+D146+E146+F146+G146</f>
        <v>57.2</v>
      </c>
      <c r="I146" s="48">
        <f>J146+N146+S146</f>
        <v>0</v>
      </c>
      <c r="J146" s="48">
        <f>K146+L146+M146</f>
        <v>0</v>
      </c>
      <c r="K146" s="48"/>
      <c r="L146" s="48"/>
      <c r="M146" s="48"/>
      <c r="N146" s="48">
        <f>O146+P146+Q146+R146</f>
        <v>0</v>
      </c>
      <c r="O146" s="48"/>
      <c r="P146" s="48"/>
      <c r="Q146" s="48"/>
      <c r="R146" s="48"/>
      <c r="S146" s="48"/>
      <c r="T146" s="48">
        <f>U146+V146</f>
        <v>709.5</v>
      </c>
      <c r="U146" s="48"/>
      <c r="V146" s="48">
        <f>W146+X146+Y146+Z146+AA146</f>
        <v>709.5</v>
      </c>
      <c r="W146" s="48"/>
      <c r="X146" s="48"/>
      <c r="Y146" s="48"/>
      <c r="Z146" s="48">
        <v>709.5</v>
      </c>
      <c r="AA146" s="48"/>
      <c r="AB146" s="48">
        <f>I146+T146</f>
        <v>709.5</v>
      </c>
      <c r="AC146" s="48">
        <f>H146+AB146</f>
        <v>766.7</v>
      </c>
      <c r="AE146" s="243"/>
      <c r="AF146" s="126"/>
    </row>
    <row r="147" spans="1:32" x14ac:dyDescent="0.2">
      <c r="A147" s="23">
        <v>6</v>
      </c>
      <c r="B147" s="24" t="s">
        <v>259</v>
      </c>
      <c r="C147" s="47">
        <f>C148+C151+C153+C156+C159+C162</f>
        <v>16000</v>
      </c>
      <c r="D147" s="47">
        <f t="shared" ref="D147:I147" si="341">D148+D151+D153+D156+D159+D162</f>
        <v>0</v>
      </c>
      <c r="E147" s="47">
        <f t="shared" si="341"/>
        <v>0</v>
      </c>
      <c r="F147" s="47">
        <f t="shared" si="341"/>
        <v>0</v>
      </c>
      <c r="G147" s="47">
        <f t="shared" si="341"/>
        <v>0</v>
      </c>
      <c r="H147" s="47">
        <f t="shared" si="341"/>
        <v>16000</v>
      </c>
      <c r="I147" s="47">
        <f t="shared" si="341"/>
        <v>6250</v>
      </c>
      <c r="J147" s="47">
        <f t="shared" ref="J147:AC147" si="342">J148+J151+J153+J156+J159+J162</f>
        <v>0</v>
      </c>
      <c r="K147" s="47">
        <f t="shared" si="342"/>
        <v>0</v>
      </c>
      <c r="L147" s="47">
        <f t="shared" si="342"/>
        <v>0</v>
      </c>
      <c r="M147" s="47">
        <f t="shared" si="342"/>
        <v>0</v>
      </c>
      <c r="N147" s="47">
        <f t="shared" si="342"/>
        <v>6250</v>
      </c>
      <c r="O147" s="47">
        <f t="shared" si="342"/>
        <v>0</v>
      </c>
      <c r="P147" s="47">
        <f t="shared" ref="P147:R147" si="343">P148+P151+P153+P156+P159+P162</f>
        <v>0</v>
      </c>
      <c r="Q147" s="47">
        <f t="shared" si="343"/>
        <v>0</v>
      </c>
      <c r="R147" s="47">
        <f t="shared" si="343"/>
        <v>0</v>
      </c>
      <c r="S147" s="47">
        <f t="shared" ref="S147" si="344">S148+S151+S153+S156+S159+S162</f>
        <v>0</v>
      </c>
      <c r="T147" s="47">
        <f t="shared" si="342"/>
        <v>0</v>
      </c>
      <c r="U147" s="47">
        <f t="shared" ref="U147" si="345">U148+U151+U153+U156+U159+U162</f>
        <v>0</v>
      </c>
      <c r="V147" s="47">
        <f t="shared" si="342"/>
        <v>0</v>
      </c>
      <c r="W147" s="47">
        <f t="shared" si="342"/>
        <v>0</v>
      </c>
      <c r="X147" s="47">
        <f t="shared" si="342"/>
        <v>0</v>
      </c>
      <c r="Y147" s="47">
        <f t="shared" si="342"/>
        <v>0</v>
      </c>
      <c r="Z147" s="47">
        <f t="shared" si="342"/>
        <v>0</v>
      </c>
      <c r="AA147" s="47">
        <f t="shared" si="342"/>
        <v>0</v>
      </c>
      <c r="AB147" s="47">
        <f t="shared" si="342"/>
        <v>6250</v>
      </c>
      <c r="AC147" s="47">
        <f t="shared" si="342"/>
        <v>22250</v>
      </c>
      <c r="AE147" s="242"/>
      <c r="AF147" s="103"/>
    </row>
    <row r="148" spans="1:32" x14ac:dyDescent="0.2">
      <c r="A148" s="23" t="s">
        <v>260</v>
      </c>
      <c r="B148" s="24" t="s">
        <v>261</v>
      </c>
      <c r="C148" s="47">
        <f>C149+C150</f>
        <v>16000</v>
      </c>
      <c r="D148" s="47">
        <f t="shared" ref="D148:I148" si="346">D149+D150</f>
        <v>0</v>
      </c>
      <c r="E148" s="47">
        <f t="shared" si="346"/>
        <v>0</v>
      </c>
      <c r="F148" s="47">
        <f t="shared" si="346"/>
        <v>0</v>
      </c>
      <c r="G148" s="47">
        <f t="shared" si="346"/>
        <v>0</v>
      </c>
      <c r="H148" s="47">
        <f t="shared" si="346"/>
        <v>16000</v>
      </c>
      <c r="I148" s="47">
        <f t="shared" si="346"/>
        <v>0</v>
      </c>
      <c r="J148" s="47">
        <f t="shared" ref="J148:AC148" si="347">J149+J150</f>
        <v>0</v>
      </c>
      <c r="K148" s="47">
        <f t="shared" si="347"/>
        <v>0</v>
      </c>
      <c r="L148" s="47">
        <f t="shared" si="347"/>
        <v>0</v>
      </c>
      <c r="M148" s="47">
        <f t="shared" si="347"/>
        <v>0</v>
      </c>
      <c r="N148" s="47">
        <f t="shared" si="347"/>
        <v>0</v>
      </c>
      <c r="O148" s="47">
        <f t="shared" si="347"/>
        <v>0</v>
      </c>
      <c r="P148" s="47">
        <f t="shared" ref="P148:R148" si="348">P149+P150</f>
        <v>0</v>
      </c>
      <c r="Q148" s="47">
        <f t="shared" si="348"/>
        <v>0</v>
      </c>
      <c r="R148" s="47">
        <f t="shared" si="348"/>
        <v>0</v>
      </c>
      <c r="S148" s="47">
        <f t="shared" ref="S148" si="349">S149+S150</f>
        <v>0</v>
      </c>
      <c r="T148" s="47">
        <f t="shared" si="347"/>
        <v>0</v>
      </c>
      <c r="U148" s="47">
        <f t="shared" ref="U148" si="350">U149+U150</f>
        <v>0</v>
      </c>
      <c r="V148" s="47">
        <f t="shared" si="347"/>
        <v>0</v>
      </c>
      <c r="W148" s="47">
        <f t="shared" si="347"/>
        <v>0</v>
      </c>
      <c r="X148" s="47">
        <f t="shared" si="347"/>
        <v>0</v>
      </c>
      <c r="Y148" s="47">
        <f t="shared" si="347"/>
        <v>0</v>
      </c>
      <c r="Z148" s="47">
        <f t="shared" si="347"/>
        <v>0</v>
      </c>
      <c r="AA148" s="47">
        <f t="shared" si="347"/>
        <v>0</v>
      </c>
      <c r="AB148" s="47">
        <f t="shared" si="347"/>
        <v>0</v>
      </c>
      <c r="AC148" s="47">
        <f t="shared" si="347"/>
        <v>16000</v>
      </c>
      <c r="AE148" s="242"/>
      <c r="AF148" s="103"/>
    </row>
    <row r="149" spans="1:32" s="166" customFormat="1" x14ac:dyDescent="0.2">
      <c r="A149" s="107" t="s">
        <v>390</v>
      </c>
      <c r="B149" s="123" t="s">
        <v>392</v>
      </c>
      <c r="C149" s="48">
        <v>16000</v>
      </c>
      <c r="D149" s="48"/>
      <c r="E149" s="48"/>
      <c r="F149" s="48"/>
      <c r="G149" s="48"/>
      <c r="H149" s="48">
        <f>C149+D149+E149+F149+G149</f>
        <v>16000</v>
      </c>
      <c r="I149" s="48">
        <f t="shared" ref="I149:I150" si="351">J149+N149+S149</f>
        <v>0</v>
      </c>
      <c r="J149" s="48">
        <f t="shared" ref="J149:J150" si="352">K149+L149+M149</f>
        <v>0</v>
      </c>
      <c r="K149" s="48"/>
      <c r="L149" s="48"/>
      <c r="M149" s="48"/>
      <c r="N149" s="48">
        <f t="shared" ref="N149:N150" si="353">O149+P149+Q149+R149</f>
        <v>0</v>
      </c>
      <c r="O149" s="48"/>
      <c r="P149" s="48"/>
      <c r="Q149" s="48"/>
      <c r="R149" s="48"/>
      <c r="S149" s="48"/>
      <c r="T149" s="48">
        <f t="shared" ref="T149:T150" si="354">U149+V149</f>
        <v>0</v>
      </c>
      <c r="U149" s="48"/>
      <c r="V149" s="48">
        <f t="shared" ref="V149:V150" si="355">W149+X149+Y149+Z149+AA149</f>
        <v>0</v>
      </c>
      <c r="W149" s="48"/>
      <c r="X149" s="48"/>
      <c r="Y149" s="48"/>
      <c r="Z149" s="48"/>
      <c r="AA149" s="48"/>
      <c r="AB149" s="48">
        <f t="shared" ref="AB149:AB150" si="356">I149+T149</f>
        <v>0</v>
      </c>
      <c r="AC149" s="48">
        <f t="shared" ref="AC149:AC150" si="357">H149+AB149</f>
        <v>16000</v>
      </c>
      <c r="AE149" s="245"/>
      <c r="AF149" s="103"/>
    </row>
    <row r="150" spans="1:32" hidden="1" x14ac:dyDescent="0.2">
      <c r="A150" s="25" t="s">
        <v>262</v>
      </c>
      <c r="B150" s="26" t="s">
        <v>263</v>
      </c>
      <c r="C150" s="48"/>
      <c r="D150" s="48"/>
      <c r="E150" s="48"/>
      <c r="F150" s="48"/>
      <c r="G150" s="48"/>
      <c r="H150" s="48">
        <f>C150+D150+E150+F150+G150</f>
        <v>0</v>
      </c>
      <c r="I150" s="48">
        <f t="shared" si="351"/>
        <v>0</v>
      </c>
      <c r="J150" s="48">
        <f t="shared" si="352"/>
        <v>0</v>
      </c>
      <c r="K150" s="48"/>
      <c r="L150" s="48"/>
      <c r="M150" s="48"/>
      <c r="N150" s="48">
        <f t="shared" si="353"/>
        <v>0</v>
      </c>
      <c r="O150" s="48"/>
      <c r="P150" s="48"/>
      <c r="Q150" s="48"/>
      <c r="R150" s="48"/>
      <c r="S150" s="48"/>
      <c r="T150" s="48">
        <f t="shared" si="354"/>
        <v>0</v>
      </c>
      <c r="U150" s="48"/>
      <c r="V150" s="48">
        <f t="shared" si="355"/>
        <v>0</v>
      </c>
      <c r="W150" s="48"/>
      <c r="X150" s="48"/>
      <c r="Y150" s="48"/>
      <c r="Z150" s="48"/>
      <c r="AA150" s="48"/>
      <c r="AB150" s="48">
        <f t="shared" si="356"/>
        <v>0</v>
      </c>
      <c r="AC150" s="48">
        <f t="shared" si="357"/>
        <v>0</v>
      </c>
      <c r="AE150" s="242"/>
      <c r="AF150" s="103"/>
    </row>
    <row r="151" spans="1:32" hidden="1" x14ac:dyDescent="0.2">
      <c r="A151" s="23">
        <v>6.02</v>
      </c>
      <c r="B151" s="24" t="s">
        <v>264</v>
      </c>
      <c r="C151" s="47">
        <f t="shared" ref="C151:H151" si="358">C152</f>
        <v>0</v>
      </c>
      <c r="D151" s="47">
        <f t="shared" si="358"/>
        <v>0</v>
      </c>
      <c r="E151" s="47">
        <f t="shared" si="358"/>
        <v>0</v>
      </c>
      <c r="F151" s="47">
        <f t="shared" si="358"/>
        <v>0</v>
      </c>
      <c r="G151" s="47">
        <f t="shared" si="358"/>
        <v>0</v>
      </c>
      <c r="H151" s="47">
        <f t="shared" si="358"/>
        <v>0</v>
      </c>
      <c r="I151" s="47">
        <f t="shared" ref="I151:AC151" si="359">I152</f>
        <v>0</v>
      </c>
      <c r="J151" s="47">
        <f t="shared" si="359"/>
        <v>0</v>
      </c>
      <c r="K151" s="47">
        <f t="shared" si="359"/>
        <v>0</v>
      </c>
      <c r="L151" s="47">
        <f t="shared" si="359"/>
        <v>0</v>
      </c>
      <c r="M151" s="47">
        <f t="shared" si="359"/>
        <v>0</v>
      </c>
      <c r="N151" s="47">
        <f t="shared" si="359"/>
        <v>0</v>
      </c>
      <c r="O151" s="47">
        <f t="shared" si="359"/>
        <v>0</v>
      </c>
      <c r="P151" s="47">
        <f t="shared" si="359"/>
        <v>0</v>
      </c>
      <c r="Q151" s="47">
        <f t="shared" si="359"/>
        <v>0</v>
      </c>
      <c r="R151" s="47">
        <f t="shared" si="359"/>
        <v>0</v>
      </c>
      <c r="S151" s="47">
        <f t="shared" si="359"/>
        <v>0</v>
      </c>
      <c r="T151" s="47">
        <f t="shared" si="359"/>
        <v>0</v>
      </c>
      <c r="U151" s="47">
        <f t="shared" si="359"/>
        <v>0</v>
      </c>
      <c r="V151" s="47">
        <f t="shared" si="359"/>
        <v>0</v>
      </c>
      <c r="W151" s="47">
        <f t="shared" si="359"/>
        <v>0</v>
      </c>
      <c r="X151" s="47">
        <f t="shared" si="359"/>
        <v>0</v>
      </c>
      <c r="Y151" s="47">
        <f t="shared" si="359"/>
        <v>0</v>
      </c>
      <c r="Z151" s="47">
        <f t="shared" si="359"/>
        <v>0</v>
      </c>
      <c r="AA151" s="47">
        <f t="shared" si="359"/>
        <v>0</v>
      </c>
      <c r="AB151" s="47">
        <f t="shared" si="359"/>
        <v>0</v>
      </c>
      <c r="AC151" s="47">
        <f t="shared" si="359"/>
        <v>0</v>
      </c>
      <c r="AE151" s="242"/>
      <c r="AF151" s="103"/>
    </row>
    <row r="152" spans="1:32" hidden="1" x14ac:dyDescent="0.2">
      <c r="A152" s="25" t="s">
        <v>265</v>
      </c>
      <c r="B152" s="26" t="s">
        <v>266</v>
      </c>
      <c r="C152" s="48"/>
      <c r="D152" s="48"/>
      <c r="E152" s="48"/>
      <c r="F152" s="48"/>
      <c r="G152" s="48"/>
      <c r="H152" s="48">
        <f>C152+D152+E152+F152+G152</f>
        <v>0</v>
      </c>
      <c r="I152" s="48">
        <f>J152+N152+S152</f>
        <v>0</v>
      </c>
      <c r="J152" s="48">
        <f>K152+L152+M152</f>
        <v>0</v>
      </c>
      <c r="K152" s="48"/>
      <c r="L152" s="48"/>
      <c r="M152" s="48"/>
      <c r="N152" s="48">
        <f>O152+P152+Q152+R152</f>
        <v>0</v>
      </c>
      <c r="O152" s="48"/>
      <c r="P152" s="48"/>
      <c r="Q152" s="48"/>
      <c r="R152" s="48"/>
      <c r="S152" s="48"/>
      <c r="T152" s="48">
        <f>U152+V152</f>
        <v>0</v>
      </c>
      <c r="U152" s="48"/>
      <c r="V152" s="48">
        <f>W152+X152+Y152+Z152+AA152</f>
        <v>0</v>
      </c>
      <c r="W152" s="48"/>
      <c r="X152" s="48"/>
      <c r="Y152" s="48"/>
      <c r="Z152" s="48"/>
      <c r="AA152" s="48"/>
      <c r="AB152" s="48">
        <f>I152+T152</f>
        <v>0</v>
      </c>
      <c r="AC152" s="48">
        <f>H152+AB152</f>
        <v>0</v>
      </c>
      <c r="AE152" s="242"/>
      <c r="AF152" s="103"/>
    </row>
    <row r="153" spans="1:32" x14ac:dyDescent="0.2">
      <c r="A153" s="23" t="s">
        <v>267</v>
      </c>
      <c r="B153" s="24" t="s">
        <v>268</v>
      </c>
      <c r="C153" s="47">
        <f>C154+C155</f>
        <v>0</v>
      </c>
      <c r="D153" s="47">
        <f t="shared" ref="D153:I153" si="360">D154+D155</f>
        <v>0</v>
      </c>
      <c r="E153" s="47">
        <f t="shared" si="360"/>
        <v>0</v>
      </c>
      <c r="F153" s="47">
        <f t="shared" si="360"/>
        <v>0</v>
      </c>
      <c r="G153" s="47">
        <f t="shared" si="360"/>
        <v>0</v>
      </c>
      <c r="H153" s="47">
        <f t="shared" si="360"/>
        <v>0</v>
      </c>
      <c r="I153" s="47">
        <f t="shared" si="360"/>
        <v>6250</v>
      </c>
      <c r="J153" s="47">
        <f t="shared" ref="J153:AC153" si="361">J154+J155</f>
        <v>0</v>
      </c>
      <c r="K153" s="47">
        <f t="shared" si="361"/>
        <v>0</v>
      </c>
      <c r="L153" s="47">
        <f t="shared" si="361"/>
        <v>0</v>
      </c>
      <c r="M153" s="47">
        <f t="shared" si="361"/>
        <v>0</v>
      </c>
      <c r="N153" s="47">
        <f t="shared" si="361"/>
        <v>6250</v>
      </c>
      <c r="O153" s="47">
        <f t="shared" si="361"/>
        <v>0</v>
      </c>
      <c r="P153" s="47">
        <f t="shared" ref="P153:R153" si="362">P154+P155</f>
        <v>0</v>
      </c>
      <c r="Q153" s="47">
        <f t="shared" si="362"/>
        <v>0</v>
      </c>
      <c r="R153" s="47">
        <f t="shared" si="362"/>
        <v>0</v>
      </c>
      <c r="S153" s="47">
        <f t="shared" ref="S153" si="363">S154+S155</f>
        <v>0</v>
      </c>
      <c r="T153" s="47">
        <f t="shared" si="361"/>
        <v>0</v>
      </c>
      <c r="U153" s="47">
        <f t="shared" ref="U153" si="364">U154+U155</f>
        <v>0</v>
      </c>
      <c r="V153" s="47">
        <f t="shared" si="361"/>
        <v>0</v>
      </c>
      <c r="W153" s="47">
        <f t="shared" si="361"/>
        <v>0</v>
      </c>
      <c r="X153" s="47">
        <f t="shared" si="361"/>
        <v>0</v>
      </c>
      <c r="Y153" s="47">
        <f t="shared" si="361"/>
        <v>0</v>
      </c>
      <c r="Z153" s="47">
        <f t="shared" si="361"/>
        <v>0</v>
      </c>
      <c r="AA153" s="47">
        <f t="shared" si="361"/>
        <v>0</v>
      </c>
      <c r="AB153" s="47">
        <f t="shared" si="361"/>
        <v>6250</v>
      </c>
      <c r="AC153" s="47">
        <f t="shared" si="361"/>
        <v>6250</v>
      </c>
      <c r="AE153" s="242"/>
      <c r="AF153" s="103"/>
    </row>
    <row r="154" spans="1:32" s="32" customFormat="1" x14ac:dyDescent="0.2">
      <c r="A154" s="27" t="s">
        <v>269</v>
      </c>
      <c r="B154" s="41" t="s">
        <v>270</v>
      </c>
      <c r="C154" s="48"/>
      <c r="D154" s="48"/>
      <c r="E154" s="48"/>
      <c r="F154" s="48"/>
      <c r="G154" s="48"/>
      <c r="H154" s="48">
        <f t="shared" ref="H154:H155" si="365">C154+D154+E154+F154+G154</f>
        <v>0</v>
      </c>
      <c r="I154" s="48">
        <f t="shared" ref="I154:I155" si="366">J154+N154+S154</f>
        <v>5000</v>
      </c>
      <c r="J154" s="48">
        <f t="shared" ref="J154:J155" si="367">K154+L154+M154</f>
        <v>0</v>
      </c>
      <c r="K154" s="48"/>
      <c r="L154" s="48"/>
      <c r="M154" s="48"/>
      <c r="N154" s="48">
        <f>O154+P154+Q154+R154+5000</f>
        <v>5000</v>
      </c>
      <c r="O154" s="48"/>
      <c r="P154" s="48"/>
      <c r="Q154" s="48"/>
      <c r="R154" s="48"/>
      <c r="S154" s="48"/>
      <c r="T154" s="48">
        <f t="shared" ref="T154:T155" si="368">U154+V154</f>
        <v>0</v>
      </c>
      <c r="U154" s="48"/>
      <c r="V154" s="48">
        <f t="shared" ref="V154:V155" si="369">W154+X154+Y154+Z154+AA154</f>
        <v>0</v>
      </c>
      <c r="W154" s="48"/>
      <c r="X154" s="48"/>
      <c r="Y154" s="48"/>
      <c r="Z154" s="48"/>
      <c r="AA154" s="48"/>
      <c r="AB154" s="48">
        <f t="shared" ref="AB154:AB155" si="370">I154+T154</f>
        <v>5000</v>
      </c>
      <c r="AC154" s="48">
        <f t="shared" ref="AC154:AC155" si="371">H154+AB154</f>
        <v>5000</v>
      </c>
      <c r="AE154" s="243"/>
      <c r="AF154" s="103"/>
    </row>
    <row r="155" spans="1:32" x14ac:dyDescent="0.2">
      <c r="A155" s="25" t="s">
        <v>378</v>
      </c>
      <c r="B155" s="26" t="s">
        <v>377</v>
      </c>
      <c r="C155" s="48"/>
      <c r="D155" s="48"/>
      <c r="E155" s="48"/>
      <c r="F155" s="48"/>
      <c r="G155" s="48"/>
      <c r="H155" s="48">
        <f t="shared" si="365"/>
        <v>0</v>
      </c>
      <c r="I155" s="48">
        <f t="shared" si="366"/>
        <v>1250</v>
      </c>
      <c r="J155" s="48">
        <f t="shared" si="367"/>
        <v>0</v>
      </c>
      <c r="K155" s="48"/>
      <c r="L155" s="48"/>
      <c r="M155" s="48"/>
      <c r="N155" s="48">
        <f>O155+P155+Q155+R155+1250</f>
        <v>1250</v>
      </c>
      <c r="O155" s="48"/>
      <c r="P155" s="48"/>
      <c r="Q155" s="48"/>
      <c r="R155" s="48"/>
      <c r="S155" s="48"/>
      <c r="T155" s="48">
        <f t="shared" si="368"/>
        <v>0</v>
      </c>
      <c r="U155" s="48"/>
      <c r="V155" s="48">
        <f t="shared" si="369"/>
        <v>0</v>
      </c>
      <c r="W155" s="48"/>
      <c r="X155" s="48"/>
      <c r="Y155" s="48"/>
      <c r="Z155" s="48"/>
      <c r="AA155" s="48"/>
      <c r="AB155" s="48">
        <f t="shared" si="370"/>
        <v>1250</v>
      </c>
      <c r="AC155" s="48">
        <f t="shared" si="371"/>
        <v>1250</v>
      </c>
      <c r="AE155" s="242"/>
      <c r="AF155" s="103"/>
    </row>
    <row r="156" spans="1:32" hidden="1" x14ac:dyDescent="0.2">
      <c r="A156" s="23">
        <v>6.04</v>
      </c>
      <c r="B156" s="24" t="s">
        <v>271</v>
      </c>
      <c r="C156" s="47">
        <f>C157+C158</f>
        <v>0</v>
      </c>
      <c r="D156" s="47">
        <f t="shared" ref="D156:I156" si="372">D157+D158</f>
        <v>0</v>
      </c>
      <c r="E156" s="47">
        <f t="shared" si="372"/>
        <v>0</v>
      </c>
      <c r="F156" s="47">
        <f t="shared" si="372"/>
        <v>0</v>
      </c>
      <c r="G156" s="47">
        <f t="shared" si="372"/>
        <v>0</v>
      </c>
      <c r="H156" s="47">
        <f t="shared" si="372"/>
        <v>0</v>
      </c>
      <c r="I156" s="47">
        <f t="shared" si="372"/>
        <v>0</v>
      </c>
      <c r="J156" s="47">
        <f t="shared" ref="J156:AC156" si="373">J157+J158</f>
        <v>0</v>
      </c>
      <c r="K156" s="47">
        <f t="shared" si="373"/>
        <v>0</v>
      </c>
      <c r="L156" s="47">
        <f t="shared" si="373"/>
        <v>0</v>
      </c>
      <c r="M156" s="47">
        <f t="shared" si="373"/>
        <v>0</v>
      </c>
      <c r="N156" s="47">
        <f t="shared" si="373"/>
        <v>0</v>
      </c>
      <c r="O156" s="47">
        <f t="shared" si="373"/>
        <v>0</v>
      </c>
      <c r="P156" s="47">
        <f t="shared" ref="P156:R156" si="374">P157+P158</f>
        <v>0</v>
      </c>
      <c r="Q156" s="47">
        <f t="shared" si="374"/>
        <v>0</v>
      </c>
      <c r="R156" s="47">
        <f t="shared" si="374"/>
        <v>0</v>
      </c>
      <c r="S156" s="47">
        <f t="shared" ref="S156" si="375">S157+S158</f>
        <v>0</v>
      </c>
      <c r="T156" s="47">
        <f t="shared" si="373"/>
        <v>0</v>
      </c>
      <c r="U156" s="47">
        <f t="shared" ref="U156" si="376">U157+U158</f>
        <v>0</v>
      </c>
      <c r="V156" s="47">
        <f t="shared" si="373"/>
        <v>0</v>
      </c>
      <c r="W156" s="47">
        <f t="shared" si="373"/>
        <v>0</v>
      </c>
      <c r="X156" s="47">
        <f t="shared" si="373"/>
        <v>0</v>
      </c>
      <c r="Y156" s="47">
        <f t="shared" si="373"/>
        <v>0</v>
      </c>
      <c r="Z156" s="47">
        <f t="shared" si="373"/>
        <v>0</v>
      </c>
      <c r="AA156" s="47">
        <f t="shared" si="373"/>
        <v>0</v>
      </c>
      <c r="AB156" s="47">
        <f t="shared" si="373"/>
        <v>0</v>
      </c>
      <c r="AC156" s="47">
        <f t="shared" si="373"/>
        <v>0</v>
      </c>
      <c r="AE156" s="242"/>
      <c r="AF156" s="103"/>
    </row>
    <row r="157" spans="1:32" hidden="1" x14ac:dyDescent="0.2">
      <c r="A157" s="25" t="s">
        <v>272</v>
      </c>
      <c r="B157" s="26" t="s">
        <v>41</v>
      </c>
      <c r="C157" s="48"/>
      <c r="D157" s="48"/>
      <c r="E157" s="48"/>
      <c r="F157" s="48"/>
      <c r="G157" s="48"/>
      <c r="H157" s="48">
        <f t="shared" ref="H157:H158" si="377">C157+D157+E157+F157+G157</f>
        <v>0</v>
      </c>
      <c r="I157" s="48">
        <f t="shared" ref="I157:I158" si="378">J157+N157+S157</f>
        <v>0</v>
      </c>
      <c r="J157" s="48">
        <f t="shared" ref="J157:J158" si="379">K157+L157+M157</f>
        <v>0</v>
      </c>
      <c r="K157" s="48"/>
      <c r="L157" s="48"/>
      <c r="M157" s="48"/>
      <c r="N157" s="48">
        <f t="shared" ref="N157:N158" si="380">O157+P157+Q157+R157</f>
        <v>0</v>
      </c>
      <c r="O157" s="48"/>
      <c r="P157" s="48"/>
      <c r="Q157" s="48"/>
      <c r="R157" s="48"/>
      <c r="S157" s="48"/>
      <c r="T157" s="48">
        <f t="shared" ref="T157:T158" si="381">U157+V157</f>
        <v>0</v>
      </c>
      <c r="U157" s="48"/>
      <c r="V157" s="48">
        <f t="shared" ref="V157:V158" si="382">W157+X157+Y157+Z157+AA157</f>
        <v>0</v>
      </c>
      <c r="W157" s="48"/>
      <c r="X157" s="48"/>
      <c r="Y157" s="48"/>
      <c r="Z157" s="48"/>
      <c r="AA157" s="48"/>
      <c r="AB157" s="48">
        <f t="shared" ref="AB157:AB158" si="383">I157+T157</f>
        <v>0</v>
      </c>
      <c r="AC157" s="48">
        <f t="shared" ref="AC157:AC158" si="384">H157+AB157</f>
        <v>0</v>
      </c>
      <c r="AE157" s="242"/>
      <c r="AF157" s="103"/>
    </row>
    <row r="158" spans="1:32" s="32" customFormat="1" hidden="1" x14ac:dyDescent="0.2">
      <c r="A158" s="27" t="s">
        <v>399</v>
      </c>
      <c r="B158" s="41" t="s">
        <v>400</v>
      </c>
      <c r="C158" s="48"/>
      <c r="D158" s="48"/>
      <c r="E158" s="48"/>
      <c r="F158" s="48"/>
      <c r="G158" s="48"/>
      <c r="H158" s="48">
        <f t="shared" si="377"/>
        <v>0</v>
      </c>
      <c r="I158" s="48">
        <f t="shared" si="378"/>
        <v>0</v>
      </c>
      <c r="J158" s="48">
        <f t="shared" si="379"/>
        <v>0</v>
      </c>
      <c r="K158" s="48"/>
      <c r="L158" s="48"/>
      <c r="M158" s="48"/>
      <c r="N158" s="48">
        <f t="shared" si="380"/>
        <v>0</v>
      </c>
      <c r="O158" s="48"/>
      <c r="P158" s="48"/>
      <c r="Q158" s="48"/>
      <c r="R158" s="48"/>
      <c r="S158" s="48"/>
      <c r="T158" s="48">
        <f t="shared" si="381"/>
        <v>0</v>
      </c>
      <c r="U158" s="48"/>
      <c r="V158" s="48">
        <f t="shared" si="382"/>
        <v>0</v>
      </c>
      <c r="W158" s="48"/>
      <c r="X158" s="48"/>
      <c r="Y158" s="48"/>
      <c r="Z158" s="48"/>
      <c r="AA158" s="48"/>
      <c r="AB158" s="48">
        <f t="shared" si="383"/>
        <v>0</v>
      </c>
      <c r="AC158" s="48">
        <f t="shared" si="384"/>
        <v>0</v>
      </c>
      <c r="AE158" s="243"/>
      <c r="AF158" s="103"/>
    </row>
    <row r="159" spans="1:32" hidden="1" x14ac:dyDescent="0.2">
      <c r="A159" s="39" t="s">
        <v>273</v>
      </c>
      <c r="B159" s="40" t="s">
        <v>274</v>
      </c>
      <c r="C159" s="47">
        <f>C160+C161</f>
        <v>0</v>
      </c>
      <c r="D159" s="47">
        <f t="shared" ref="D159:I159" si="385">D160+D161</f>
        <v>0</v>
      </c>
      <c r="E159" s="47">
        <f t="shared" si="385"/>
        <v>0</v>
      </c>
      <c r="F159" s="47">
        <f t="shared" si="385"/>
        <v>0</v>
      </c>
      <c r="G159" s="47">
        <f t="shared" si="385"/>
        <v>0</v>
      </c>
      <c r="H159" s="47">
        <f t="shared" si="385"/>
        <v>0</v>
      </c>
      <c r="I159" s="47">
        <f t="shared" si="385"/>
        <v>0</v>
      </c>
      <c r="J159" s="47">
        <f t="shared" ref="J159:AC159" si="386">J160+J161</f>
        <v>0</v>
      </c>
      <c r="K159" s="47">
        <f t="shared" si="386"/>
        <v>0</v>
      </c>
      <c r="L159" s="47">
        <f t="shared" si="386"/>
        <v>0</v>
      </c>
      <c r="M159" s="47">
        <f t="shared" si="386"/>
        <v>0</v>
      </c>
      <c r="N159" s="47">
        <f t="shared" si="386"/>
        <v>0</v>
      </c>
      <c r="O159" s="47">
        <f t="shared" si="386"/>
        <v>0</v>
      </c>
      <c r="P159" s="47">
        <f t="shared" ref="P159:R159" si="387">P160+P161</f>
        <v>0</v>
      </c>
      <c r="Q159" s="47">
        <f t="shared" si="387"/>
        <v>0</v>
      </c>
      <c r="R159" s="47">
        <f t="shared" si="387"/>
        <v>0</v>
      </c>
      <c r="S159" s="47">
        <f t="shared" ref="S159" si="388">S160+S161</f>
        <v>0</v>
      </c>
      <c r="T159" s="47">
        <f t="shared" si="386"/>
        <v>0</v>
      </c>
      <c r="U159" s="47">
        <f t="shared" ref="U159" si="389">U160+U161</f>
        <v>0</v>
      </c>
      <c r="V159" s="47">
        <f t="shared" si="386"/>
        <v>0</v>
      </c>
      <c r="W159" s="47">
        <f t="shared" si="386"/>
        <v>0</v>
      </c>
      <c r="X159" s="47">
        <f t="shared" si="386"/>
        <v>0</v>
      </c>
      <c r="Y159" s="47">
        <f t="shared" si="386"/>
        <v>0</v>
      </c>
      <c r="Z159" s="47">
        <f t="shared" si="386"/>
        <v>0</v>
      </c>
      <c r="AA159" s="47">
        <f t="shared" si="386"/>
        <v>0</v>
      </c>
      <c r="AB159" s="47">
        <f t="shared" si="386"/>
        <v>0</v>
      </c>
      <c r="AC159" s="47">
        <f t="shared" si="386"/>
        <v>0</v>
      </c>
      <c r="AE159" s="242"/>
      <c r="AF159" s="103"/>
    </row>
    <row r="160" spans="1:32" hidden="1" x14ac:dyDescent="0.2">
      <c r="A160" s="25" t="s">
        <v>275</v>
      </c>
      <c r="B160" s="26" t="s">
        <v>276</v>
      </c>
      <c r="C160" s="48"/>
      <c r="D160" s="48"/>
      <c r="E160" s="48"/>
      <c r="F160" s="48"/>
      <c r="G160" s="48"/>
      <c r="H160" s="48">
        <f t="shared" ref="H160:H161" si="390">C160+D160+E160+F160+G160</f>
        <v>0</v>
      </c>
      <c r="I160" s="48">
        <f t="shared" ref="I160:I161" si="391">J160+N160+S160</f>
        <v>0</v>
      </c>
      <c r="J160" s="48">
        <f t="shared" ref="J160:J161" si="392">K160+L160+M160</f>
        <v>0</v>
      </c>
      <c r="K160" s="48"/>
      <c r="L160" s="48"/>
      <c r="M160" s="48"/>
      <c r="N160" s="48">
        <f t="shared" ref="N160:N161" si="393">O160+P160+Q160+R160</f>
        <v>0</v>
      </c>
      <c r="O160" s="48"/>
      <c r="P160" s="48"/>
      <c r="Q160" s="48"/>
      <c r="R160" s="48"/>
      <c r="S160" s="48"/>
      <c r="T160" s="48">
        <f t="shared" ref="T160:T161" si="394">U160+V160</f>
        <v>0</v>
      </c>
      <c r="U160" s="48"/>
      <c r="V160" s="48">
        <f t="shared" ref="V160:V161" si="395">W160+X160+Y160+Z160+AA160</f>
        <v>0</v>
      </c>
      <c r="W160" s="48"/>
      <c r="X160" s="48"/>
      <c r="Y160" s="48"/>
      <c r="Z160" s="48"/>
      <c r="AA160" s="48"/>
      <c r="AB160" s="48">
        <f t="shared" ref="AB160:AB161" si="396">I160+T160</f>
        <v>0</v>
      </c>
      <c r="AC160" s="48">
        <f t="shared" ref="AC160:AC161" si="397">H160+AB160</f>
        <v>0</v>
      </c>
      <c r="AE160" s="242"/>
      <c r="AF160" s="103"/>
    </row>
    <row r="161" spans="1:32" s="32" customFormat="1" hidden="1" x14ac:dyDescent="0.2">
      <c r="A161" s="27" t="s">
        <v>361</v>
      </c>
      <c r="B161" s="41" t="s">
        <v>362</v>
      </c>
      <c r="C161" s="48"/>
      <c r="D161" s="48"/>
      <c r="E161" s="48"/>
      <c r="F161" s="48"/>
      <c r="G161" s="48"/>
      <c r="H161" s="48">
        <f t="shared" si="390"/>
        <v>0</v>
      </c>
      <c r="I161" s="48">
        <f t="shared" si="391"/>
        <v>0</v>
      </c>
      <c r="J161" s="48">
        <f t="shared" si="392"/>
        <v>0</v>
      </c>
      <c r="K161" s="48"/>
      <c r="L161" s="48"/>
      <c r="M161" s="48"/>
      <c r="N161" s="48">
        <f t="shared" si="393"/>
        <v>0</v>
      </c>
      <c r="O161" s="48"/>
      <c r="P161" s="48"/>
      <c r="Q161" s="48"/>
      <c r="R161" s="48"/>
      <c r="S161" s="48"/>
      <c r="T161" s="48">
        <f t="shared" si="394"/>
        <v>0</v>
      </c>
      <c r="U161" s="48"/>
      <c r="V161" s="48">
        <f t="shared" si="395"/>
        <v>0</v>
      </c>
      <c r="W161" s="48"/>
      <c r="X161" s="48"/>
      <c r="Y161" s="48"/>
      <c r="Z161" s="48"/>
      <c r="AA161" s="48"/>
      <c r="AB161" s="48">
        <f t="shared" si="396"/>
        <v>0</v>
      </c>
      <c r="AC161" s="48">
        <f t="shared" si="397"/>
        <v>0</v>
      </c>
      <c r="AE161" s="243"/>
      <c r="AF161" s="103"/>
    </row>
    <row r="162" spans="1:32" s="93" customFormat="1" hidden="1" x14ac:dyDescent="0.2">
      <c r="A162" s="39" t="s">
        <v>49</v>
      </c>
      <c r="B162" s="40" t="s">
        <v>50</v>
      </c>
      <c r="C162" s="47">
        <f>C163</f>
        <v>0</v>
      </c>
      <c r="D162" s="47">
        <f t="shared" ref="D162:H162" si="398">D163</f>
        <v>0</v>
      </c>
      <c r="E162" s="47">
        <f t="shared" si="398"/>
        <v>0</v>
      </c>
      <c r="F162" s="47">
        <f t="shared" si="398"/>
        <v>0</v>
      </c>
      <c r="G162" s="47">
        <f t="shared" si="398"/>
        <v>0</v>
      </c>
      <c r="H162" s="47">
        <f t="shared" si="398"/>
        <v>0</v>
      </c>
      <c r="I162" s="47">
        <f t="shared" ref="I162:AC162" si="399">I163</f>
        <v>0</v>
      </c>
      <c r="J162" s="47">
        <f t="shared" si="399"/>
        <v>0</v>
      </c>
      <c r="K162" s="47">
        <f t="shared" si="399"/>
        <v>0</v>
      </c>
      <c r="L162" s="47">
        <f t="shared" si="399"/>
        <v>0</v>
      </c>
      <c r="M162" s="47">
        <f t="shared" si="399"/>
        <v>0</v>
      </c>
      <c r="N162" s="47">
        <f t="shared" si="399"/>
        <v>0</v>
      </c>
      <c r="O162" s="47">
        <f t="shared" si="399"/>
        <v>0</v>
      </c>
      <c r="P162" s="47">
        <f t="shared" si="399"/>
        <v>0</v>
      </c>
      <c r="Q162" s="47">
        <f t="shared" si="399"/>
        <v>0</v>
      </c>
      <c r="R162" s="47">
        <f t="shared" si="399"/>
        <v>0</v>
      </c>
      <c r="S162" s="47">
        <f t="shared" si="399"/>
        <v>0</v>
      </c>
      <c r="T162" s="47">
        <f t="shared" si="399"/>
        <v>0</v>
      </c>
      <c r="U162" s="47">
        <f t="shared" si="399"/>
        <v>0</v>
      </c>
      <c r="V162" s="47">
        <f t="shared" si="399"/>
        <v>0</v>
      </c>
      <c r="W162" s="47">
        <f t="shared" si="399"/>
        <v>0</v>
      </c>
      <c r="X162" s="47">
        <f t="shared" si="399"/>
        <v>0</v>
      </c>
      <c r="Y162" s="47">
        <f t="shared" si="399"/>
        <v>0</v>
      </c>
      <c r="Z162" s="47">
        <f t="shared" si="399"/>
        <v>0</v>
      </c>
      <c r="AA162" s="47">
        <f t="shared" si="399"/>
        <v>0</v>
      </c>
      <c r="AB162" s="47">
        <f t="shared" si="399"/>
        <v>0</v>
      </c>
      <c r="AC162" s="47">
        <f t="shared" si="399"/>
        <v>0</v>
      </c>
      <c r="AE162" s="246"/>
      <c r="AF162" s="103"/>
    </row>
    <row r="163" spans="1:32" hidden="1" x14ac:dyDescent="0.2">
      <c r="A163" s="25" t="s">
        <v>51</v>
      </c>
      <c r="B163" s="26" t="s">
        <v>52</v>
      </c>
      <c r="C163" s="48"/>
      <c r="D163" s="48"/>
      <c r="E163" s="48"/>
      <c r="F163" s="48"/>
      <c r="G163" s="48"/>
      <c r="H163" s="48">
        <f>C163+D163+E163+F163+G163</f>
        <v>0</v>
      </c>
      <c r="I163" s="48">
        <f>J163+N163+S163</f>
        <v>0</v>
      </c>
      <c r="J163" s="48">
        <f>K163+L163+M163</f>
        <v>0</v>
      </c>
      <c r="K163" s="48"/>
      <c r="L163" s="48"/>
      <c r="M163" s="48"/>
      <c r="N163" s="48">
        <f>O163+P163+Q163+R163</f>
        <v>0</v>
      </c>
      <c r="O163" s="48"/>
      <c r="P163" s="48"/>
      <c r="Q163" s="48"/>
      <c r="R163" s="48"/>
      <c r="S163" s="48"/>
      <c r="T163" s="48">
        <f>U163+V163</f>
        <v>0</v>
      </c>
      <c r="U163" s="48"/>
      <c r="V163" s="48">
        <f>W163+X163+Y163+Z163+AA163</f>
        <v>0</v>
      </c>
      <c r="W163" s="48"/>
      <c r="X163" s="48"/>
      <c r="Y163" s="48"/>
      <c r="Z163" s="48"/>
      <c r="AA163" s="48"/>
      <c r="AB163" s="48">
        <f>I163+T163</f>
        <v>0</v>
      </c>
      <c r="AC163" s="48">
        <f>H163+AB163</f>
        <v>0</v>
      </c>
      <c r="AE163" s="242"/>
      <c r="AF163" s="103"/>
    </row>
    <row r="164" spans="1:32" hidden="1" x14ac:dyDescent="0.2">
      <c r="A164" s="39">
        <v>7</v>
      </c>
      <c r="B164" s="40" t="s">
        <v>277</v>
      </c>
      <c r="C164" s="47">
        <f>C165</f>
        <v>0</v>
      </c>
      <c r="D164" s="47">
        <f t="shared" ref="D164:H164" si="400">D165</f>
        <v>0</v>
      </c>
      <c r="E164" s="47">
        <f t="shared" si="400"/>
        <v>0</v>
      </c>
      <c r="F164" s="47">
        <f t="shared" si="400"/>
        <v>0</v>
      </c>
      <c r="G164" s="47">
        <f t="shared" si="400"/>
        <v>0</v>
      </c>
      <c r="H164" s="47">
        <f t="shared" si="400"/>
        <v>0</v>
      </c>
      <c r="I164" s="47">
        <f t="shared" ref="I164:AC165" si="401">I165</f>
        <v>0</v>
      </c>
      <c r="J164" s="47">
        <f t="shared" si="401"/>
        <v>0</v>
      </c>
      <c r="K164" s="47">
        <f t="shared" si="401"/>
        <v>0</v>
      </c>
      <c r="L164" s="47">
        <f t="shared" si="401"/>
        <v>0</v>
      </c>
      <c r="M164" s="47">
        <f t="shared" si="401"/>
        <v>0</v>
      </c>
      <c r="N164" s="47">
        <f t="shared" si="401"/>
        <v>0</v>
      </c>
      <c r="O164" s="47">
        <f t="shared" si="401"/>
        <v>0</v>
      </c>
      <c r="P164" s="47">
        <f t="shared" si="401"/>
        <v>0</v>
      </c>
      <c r="Q164" s="47">
        <f t="shared" si="401"/>
        <v>0</v>
      </c>
      <c r="R164" s="47">
        <f t="shared" si="401"/>
        <v>0</v>
      </c>
      <c r="S164" s="47">
        <f t="shared" si="401"/>
        <v>0</v>
      </c>
      <c r="T164" s="47">
        <f t="shared" si="401"/>
        <v>0</v>
      </c>
      <c r="U164" s="47">
        <f t="shared" si="401"/>
        <v>0</v>
      </c>
      <c r="V164" s="47">
        <f t="shared" si="401"/>
        <v>0</v>
      </c>
      <c r="W164" s="47">
        <f t="shared" si="401"/>
        <v>0</v>
      </c>
      <c r="X164" s="47">
        <f t="shared" si="401"/>
        <v>0</v>
      </c>
      <c r="Y164" s="47">
        <f t="shared" si="401"/>
        <v>0</v>
      </c>
      <c r="Z164" s="47">
        <f t="shared" si="401"/>
        <v>0</v>
      </c>
      <c r="AA164" s="47">
        <f t="shared" si="401"/>
        <v>0</v>
      </c>
      <c r="AB164" s="47">
        <f t="shared" si="401"/>
        <v>0</v>
      </c>
      <c r="AC164" s="47">
        <f t="shared" si="401"/>
        <v>0</v>
      </c>
      <c r="AE164" s="242"/>
      <c r="AF164" s="103"/>
    </row>
    <row r="165" spans="1:32" hidden="1" x14ac:dyDescent="0.2">
      <c r="A165" s="39" t="s">
        <v>278</v>
      </c>
      <c r="B165" s="40" t="s">
        <v>279</v>
      </c>
      <c r="C165" s="47">
        <f t="shared" ref="C165:H165" si="402">C166</f>
        <v>0</v>
      </c>
      <c r="D165" s="47">
        <f t="shared" si="402"/>
        <v>0</v>
      </c>
      <c r="E165" s="47">
        <f t="shared" si="402"/>
        <v>0</v>
      </c>
      <c r="F165" s="47">
        <f t="shared" si="402"/>
        <v>0</v>
      </c>
      <c r="G165" s="47">
        <f t="shared" si="402"/>
        <v>0</v>
      </c>
      <c r="H165" s="47">
        <f t="shared" si="402"/>
        <v>0</v>
      </c>
      <c r="I165" s="47">
        <f t="shared" ref="I165:AC165" si="403">I166</f>
        <v>0</v>
      </c>
      <c r="J165" s="47">
        <f t="shared" si="403"/>
        <v>0</v>
      </c>
      <c r="K165" s="47">
        <f t="shared" si="401"/>
        <v>0</v>
      </c>
      <c r="L165" s="47">
        <f t="shared" si="401"/>
        <v>0</v>
      </c>
      <c r="M165" s="47">
        <f t="shared" si="401"/>
        <v>0</v>
      </c>
      <c r="N165" s="47">
        <f t="shared" si="401"/>
        <v>0</v>
      </c>
      <c r="O165" s="47">
        <f t="shared" si="401"/>
        <v>0</v>
      </c>
      <c r="P165" s="47">
        <f t="shared" si="401"/>
        <v>0</v>
      </c>
      <c r="Q165" s="47">
        <f t="shared" si="401"/>
        <v>0</v>
      </c>
      <c r="R165" s="47">
        <f t="shared" si="401"/>
        <v>0</v>
      </c>
      <c r="S165" s="47">
        <f t="shared" si="401"/>
        <v>0</v>
      </c>
      <c r="T165" s="47">
        <f t="shared" si="403"/>
        <v>0</v>
      </c>
      <c r="U165" s="47">
        <f t="shared" si="401"/>
        <v>0</v>
      </c>
      <c r="V165" s="47">
        <f t="shared" si="401"/>
        <v>0</v>
      </c>
      <c r="W165" s="47">
        <f t="shared" si="401"/>
        <v>0</v>
      </c>
      <c r="X165" s="47">
        <f t="shared" si="401"/>
        <v>0</v>
      </c>
      <c r="Y165" s="47">
        <f t="shared" si="401"/>
        <v>0</v>
      </c>
      <c r="Z165" s="47">
        <f t="shared" si="401"/>
        <v>0</v>
      </c>
      <c r="AA165" s="47">
        <f t="shared" si="401"/>
        <v>0</v>
      </c>
      <c r="AB165" s="47">
        <f t="shared" si="401"/>
        <v>0</v>
      </c>
      <c r="AC165" s="47">
        <f t="shared" si="403"/>
        <v>0</v>
      </c>
      <c r="AE165" s="242"/>
      <c r="AF165" s="103"/>
    </row>
    <row r="166" spans="1:32" hidden="1" x14ac:dyDescent="0.2">
      <c r="A166" s="33" t="s">
        <v>280</v>
      </c>
      <c r="B166" s="35" t="s">
        <v>391</v>
      </c>
      <c r="C166" s="50"/>
      <c r="D166" s="50"/>
      <c r="E166" s="50"/>
      <c r="F166" s="50"/>
      <c r="G166" s="50"/>
      <c r="H166" s="48">
        <f>C166+D166+E166+F166+G166</f>
        <v>0</v>
      </c>
      <c r="I166" s="48">
        <f>J166+N166+S166</f>
        <v>0</v>
      </c>
      <c r="J166" s="48">
        <f>K166+L166+M166</f>
        <v>0</v>
      </c>
      <c r="K166" s="50"/>
      <c r="L166" s="50"/>
      <c r="M166" s="50"/>
      <c r="N166" s="48">
        <f>O166+P166+Q166+R166</f>
        <v>0</v>
      </c>
      <c r="O166" s="50"/>
      <c r="P166" s="50"/>
      <c r="Q166" s="50"/>
      <c r="R166" s="50"/>
      <c r="S166" s="50"/>
      <c r="T166" s="48">
        <f>U166+V166</f>
        <v>0</v>
      </c>
      <c r="U166" s="50"/>
      <c r="V166" s="48">
        <f>W166+X166+Y166+Z166+AA166</f>
        <v>0</v>
      </c>
      <c r="W166" s="50"/>
      <c r="X166" s="50"/>
      <c r="Y166" s="50"/>
      <c r="Z166" s="50"/>
      <c r="AA166" s="50"/>
      <c r="AB166" s="48">
        <f>I166+T166</f>
        <v>0</v>
      </c>
      <c r="AC166" s="48">
        <f>H166+AB166</f>
        <v>0</v>
      </c>
      <c r="AE166" s="242"/>
      <c r="AF166" s="103"/>
    </row>
    <row r="167" spans="1:32" hidden="1" x14ac:dyDescent="0.2">
      <c r="A167" s="23">
        <v>9</v>
      </c>
      <c r="B167" s="24" t="s">
        <v>281</v>
      </c>
      <c r="C167" s="47">
        <f>C168</f>
        <v>0</v>
      </c>
      <c r="D167" s="47">
        <f t="shared" ref="D167:H168" si="404">D168</f>
        <v>0</v>
      </c>
      <c r="E167" s="47">
        <f t="shared" si="404"/>
        <v>0</v>
      </c>
      <c r="F167" s="47">
        <f t="shared" si="404"/>
        <v>0</v>
      </c>
      <c r="G167" s="47">
        <f t="shared" si="404"/>
        <v>0</v>
      </c>
      <c r="H167" s="47">
        <f t="shared" si="404"/>
        <v>0</v>
      </c>
      <c r="I167" s="47">
        <f t="shared" ref="I167:AC168" si="405">I168</f>
        <v>0</v>
      </c>
      <c r="J167" s="47">
        <f t="shared" si="405"/>
        <v>0</v>
      </c>
      <c r="K167" s="47">
        <f t="shared" si="405"/>
        <v>0</v>
      </c>
      <c r="L167" s="47">
        <f t="shared" si="405"/>
        <v>0</v>
      </c>
      <c r="M167" s="47">
        <f t="shared" si="405"/>
        <v>0</v>
      </c>
      <c r="N167" s="47">
        <f t="shared" si="405"/>
        <v>0</v>
      </c>
      <c r="O167" s="47">
        <f t="shared" si="405"/>
        <v>0</v>
      </c>
      <c r="P167" s="47">
        <f t="shared" si="405"/>
        <v>0</v>
      </c>
      <c r="Q167" s="47">
        <f t="shared" si="405"/>
        <v>0</v>
      </c>
      <c r="R167" s="47">
        <f t="shared" si="405"/>
        <v>0</v>
      </c>
      <c r="S167" s="47">
        <f t="shared" si="405"/>
        <v>0</v>
      </c>
      <c r="T167" s="47">
        <f t="shared" si="405"/>
        <v>0</v>
      </c>
      <c r="U167" s="47">
        <f t="shared" si="405"/>
        <v>0</v>
      </c>
      <c r="V167" s="47">
        <f t="shared" si="405"/>
        <v>0</v>
      </c>
      <c r="W167" s="47">
        <f t="shared" si="405"/>
        <v>0</v>
      </c>
      <c r="X167" s="47">
        <f t="shared" si="405"/>
        <v>0</v>
      </c>
      <c r="Y167" s="47">
        <f t="shared" si="405"/>
        <v>0</v>
      </c>
      <c r="Z167" s="47">
        <f t="shared" si="405"/>
        <v>0</v>
      </c>
      <c r="AA167" s="47">
        <f t="shared" si="405"/>
        <v>0</v>
      </c>
      <c r="AB167" s="47">
        <f t="shared" si="405"/>
        <v>0</v>
      </c>
      <c r="AC167" s="47">
        <f t="shared" si="405"/>
        <v>0</v>
      </c>
      <c r="AE167" s="242"/>
      <c r="AF167" s="103"/>
    </row>
    <row r="168" spans="1:32" s="32" customFormat="1" hidden="1" x14ac:dyDescent="0.2">
      <c r="A168" s="158" t="s">
        <v>282</v>
      </c>
      <c r="B168" s="124" t="s">
        <v>38</v>
      </c>
      <c r="C168" s="47">
        <f>C169</f>
        <v>0</v>
      </c>
      <c r="D168" s="47">
        <f t="shared" si="404"/>
        <v>0</v>
      </c>
      <c r="E168" s="47">
        <f t="shared" si="404"/>
        <v>0</v>
      </c>
      <c r="F168" s="47">
        <f t="shared" si="404"/>
        <v>0</v>
      </c>
      <c r="G168" s="47">
        <f t="shared" si="404"/>
        <v>0</v>
      </c>
      <c r="H168" s="47">
        <f t="shared" si="404"/>
        <v>0</v>
      </c>
      <c r="I168" s="47">
        <f t="shared" si="405"/>
        <v>0</v>
      </c>
      <c r="J168" s="47">
        <f t="shared" si="405"/>
        <v>0</v>
      </c>
      <c r="K168" s="47">
        <f t="shared" si="405"/>
        <v>0</v>
      </c>
      <c r="L168" s="47">
        <f t="shared" si="405"/>
        <v>0</v>
      </c>
      <c r="M168" s="47">
        <f t="shared" si="405"/>
        <v>0</v>
      </c>
      <c r="N168" s="47">
        <f t="shared" si="405"/>
        <v>0</v>
      </c>
      <c r="O168" s="47">
        <f t="shared" si="405"/>
        <v>0</v>
      </c>
      <c r="P168" s="47">
        <f t="shared" si="405"/>
        <v>0</v>
      </c>
      <c r="Q168" s="47">
        <f t="shared" si="405"/>
        <v>0</v>
      </c>
      <c r="R168" s="47">
        <f t="shared" si="405"/>
        <v>0</v>
      </c>
      <c r="S168" s="47">
        <f t="shared" si="405"/>
        <v>0</v>
      </c>
      <c r="T168" s="47">
        <f t="shared" si="405"/>
        <v>0</v>
      </c>
      <c r="U168" s="47">
        <f t="shared" si="405"/>
        <v>0</v>
      </c>
      <c r="V168" s="47">
        <f t="shared" si="405"/>
        <v>0</v>
      </c>
      <c r="W168" s="47">
        <f t="shared" si="405"/>
        <v>0</v>
      </c>
      <c r="X168" s="47">
        <f t="shared" si="405"/>
        <v>0</v>
      </c>
      <c r="Y168" s="47">
        <f t="shared" si="405"/>
        <v>0</v>
      </c>
      <c r="Z168" s="47">
        <f t="shared" si="405"/>
        <v>0</v>
      </c>
      <c r="AA168" s="47">
        <f t="shared" si="405"/>
        <v>0</v>
      </c>
      <c r="AB168" s="47">
        <f t="shared" si="405"/>
        <v>0</v>
      </c>
      <c r="AC168" s="47">
        <f t="shared" si="405"/>
        <v>0</v>
      </c>
      <c r="AE168" s="243"/>
      <c r="AF168" s="103"/>
    </row>
    <row r="169" spans="1:32" hidden="1" x14ac:dyDescent="0.2">
      <c r="A169" s="42" t="s">
        <v>39</v>
      </c>
      <c r="B169" s="43" t="s">
        <v>40</v>
      </c>
      <c r="C169" s="48"/>
      <c r="D169" s="48"/>
      <c r="E169" s="48"/>
      <c r="F169" s="48"/>
      <c r="G169" s="48"/>
      <c r="H169" s="48">
        <f>C169+D169+E169+F169+G169</f>
        <v>0</v>
      </c>
      <c r="I169" s="48">
        <f>J169+N169+S169</f>
        <v>0</v>
      </c>
      <c r="J169" s="48">
        <f>K169+L169+M169</f>
        <v>0</v>
      </c>
      <c r="K169" s="48"/>
      <c r="L169" s="48"/>
      <c r="M169" s="48"/>
      <c r="N169" s="48">
        <f>O169+P169+Q169+R169</f>
        <v>0</v>
      </c>
      <c r="O169" s="48"/>
      <c r="P169" s="48"/>
      <c r="Q169" s="48"/>
      <c r="R169" s="48"/>
      <c r="S169" s="48"/>
      <c r="T169" s="48">
        <f>U169+V169</f>
        <v>0</v>
      </c>
      <c r="U169" s="48"/>
      <c r="V169" s="48">
        <f>W169+X169+Y169+Z169+AA169</f>
        <v>0</v>
      </c>
      <c r="W169" s="48"/>
      <c r="X169" s="48"/>
      <c r="Y169" s="48"/>
      <c r="Z169" s="48"/>
      <c r="AA169" s="48"/>
      <c r="AB169" s="48">
        <f>I169+T169</f>
        <v>0</v>
      </c>
      <c r="AC169" s="48">
        <f>H169+AB169</f>
        <v>0</v>
      </c>
      <c r="AE169" s="242"/>
      <c r="AF169" s="103"/>
    </row>
    <row r="170" spans="1:32" ht="13.5" thickBot="1" x14ac:dyDescent="0.25">
      <c r="A170" s="60"/>
      <c r="B170" s="29"/>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E170" s="242"/>
      <c r="AF170" s="103"/>
    </row>
    <row r="171" spans="1:32" ht="13.5" thickBot="1" x14ac:dyDescent="0.25">
      <c r="A171" s="30"/>
      <c r="B171" s="31" t="s">
        <v>60</v>
      </c>
      <c r="C171" s="171">
        <f>C10+C34+C91+C126+C129+C147+C164+C167</f>
        <v>249240.8</v>
      </c>
      <c r="D171" s="174">
        <f t="shared" ref="D171:AC171" si="406">D10+D34+D91+D126+D129+D147+D164+D167</f>
        <v>1850</v>
      </c>
      <c r="E171" s="100">
        <f t="shared" si="406"/>
        <v>7110</v>
      </c>
      <c r="F171" s="285">
        <f t="shared" si="406"/>
        <v>5471</v>
      </c>
      <c r="G171" s="164">
        <f t="shared" si="406"/>
        <v>17710.7</v>
      </c>
      <c r="H171" s="281">
        <f t="shared" si="406"/>
        <v>281382.5</v>
      </c>
      <c r="I171" s="276">
        <f t="shared" ref="I171" si="407">I10+I34+I91+I126+I129+I147+I164+I167</f>
        <v>934576.72799999989</v>
      </c>
      <c r="J171" s="274">
        <f t="shared" si="406"/>
        <v>217050.18928399999</v>
      </c>
      <c r="K171" s="271">
        <f t="shared" si="406"/>
        <v>75582.999284000005</v>
      </c>
      <c r="L171" s="271">
        <f t="shared" si="406"/>
        <v>63650</v>
      </c>
      <c r="M171" s="271">
        <f t="shared" si="406"/>
        <v>0</v>
      </c>
      <c r="N171" s="274">
        <f t="shared" si="406"/>
        <v>677196.46871599997</v>
      </c>
      <c r="O171" s="271">
        <f t="shared" si="406"/>
        <v>225370.473012</v>
      </c>
      <c r="P171" s="271">
        <f t="shared" ref="P171:R171" si="408">P10+P34+P91+P126+P129+P147+P164+P167</f>
        <v>205211.99713599999</v>
      </c>
      <c r="Q171" s="271">
        <f t="shared" si="408"/>
        <v>57596.998926</v>
      </c>
      <c r="R171" s="271">
        <f t="shared" si="408"/>
        <v>44348.999642000002</v>
      </c>
      <c r="S171" s="274">
        <f t="shared" ref="S171" si="409">S10+S34+S91+S126+S129+S147+S164+S167</f>
        <v>40330.07</v>
      </c>
      <c r="T171" s="162">
        <f t="shared" si="406"/>
        <v>88427.5</v>
      </c>
      <c r="U171" s="279">
        <f t="shared" ref="U171" si="410">U10+U34+U91+U126+U129+U147+U164+U167</f>
        <v>17000</v>
      </c>
      <c r="V171" s="279">
        <f t="shared" si="406"/>
        <v>71427.5</v>
      </c>
      <c r="W171" s="283">
        <f t="shared" si="406"/>
        <v>0</v>
      </c>
      <c r="X171" s="283">
        <f t="shared" si="406"/>
        <v>200</v>
      </c>
      <c r="Y171" s="283">
        <f t="shared" si="406"/>
        <v>0</v>
      </c>
      <c r="Z171" s="283">
        <f t="shared" si="406"/>
        <v>3009.5</v>
      </c>
      <c r="AA171" s="283">
        <f t="shared" si="406"/>
        <v>0</v>
      </c>
      <c r="AB171" s="281">
        <f t="shared" si="406"/>
        <v>1023004.2279999999</v>
      </c>
      <c r="AC171" s="52">
        <f t="shared" si="406"/>
        <v>1304386.7280000001</v>
      </c>
      <c r="AE171" s="242"/>
      <c r="AF171" s="103"/>
    </row>
    <row r="173" spans="1:32" s="32" customFormat="1" x14ac:dyDescent="0.2">
      <c r="C173" s="102"/>
      <c r="D173" s="102"/>
      <c r="E173" s="102"/>
      <c r="F173" s="102"/>
      <c r="G173" s="102"/>
      <c r="H173" s="102"/>
      <c r="I173" s="102"/>
      <c r="J173" s="102"/>
      <c r="K173" s="126"/>
      <c r="T173" s="102"/>
      <c r="U173" s="102"/>
      <c r="V173" s="102"/>
      <c r="W173" s="102"/>
      <c r="X173" s="102"/>
      <c r="Y173" s="102"/>
      <c r="Z173" s="102"/>
      <c r="AA173" s="102"/>
      <c r="AB173" s="102"/>
      <c r="AC173" s="102"/>
      <c r="AD173" s="297"/>
      <c r="AE173" s="295"/>
      <c r="AF173" s="122"/>
    </row>
    <row r="174" spans="1:32" s="32" customFormat="1" x14ac:dyDescent="0.2">
      <c r="K174" s="296"/>
      <c r="L174" s="126"/>
      <c r="AE174" s="297"/>
      <c r="AF174" s="122"/>
    </row>
    <row r="175" spans="1:32" s="298" customFormat="1" ht="11.25" x14ac:dyDescent="0.2">
      <c r="C175" s="299"/>
      <c r="D175" s="226"/>
      <c r="E175" s="226"/>
      <c r="F175" s="226"/>
      <c r="G175" s="226"/>
      <c r="H175" s="226"/>
      <c r="I175" s="226"/>
      <c r="J175" s="226"/>
      <c r="K175" s="227"/>
      <c r="L175" s="226"/>
      <c r="M175" s="226"/>
      <c r="N175" s="226"/>
      <c r="O175" s="226"/>
      <c r="P175" s="226"/>
      <c r="Q175" s="226"/>
      <c r="R175" s="226"/>
      <c r="S175" s="226"/>
      <c r="T175" s="226"/>
      <c r="U175" s="226"/>
      <c r="V175" s="227"/>
      <c r="W175" s="226"/>
      <c r="X175" s="226"/>
      <c r="Y175" s="226"/>
      <c r="Z175" s="226"/>
      <c r="AA175" s="226"/>
      <c r="AB175" s="226"/>
      <c r="AC175" s="226"/>
      <c r="AE175" s="297"/>
      <c r="AF175" s="122"/>
    </row>
    <row r="176" spans="1:32" x14ac:dyDescent="0.2">
      <c r="A176" s="176"/>
      <c r="E176" s="167"/>
      <c r="J176" s="126"/>
      <c r="K176" s="32"/>
      <c r="T176" s="167"/>
      <c r="U176" s="167"/>
    </row>
    <row r="177" spans="1:1" x14ac:dyDescent="0.2">
      <c r="A177" s="176"/>
    </row>
    <row r="178" spans="1:1" x14ac:dyDescent="0.2">
      <c r="A178" s="1"/>
    </row>
    <row r="179" spans="1:1" x14ac:dyDescent="0.2">
      <c r="A179" s="1"/>
    </row>
    <row r="180" spans="1:1" x14ac:dyDescent="0.2">
      <c r="A180" s="1"/>
    </row>
    <row r="181" spans="1:1" x14ac:dyDescent="0.2">
      <c r="A181" s="1"/>
    </row>
    <row r="182" spans="1:1" x14ac:dyDescent="0.2">
      <c r="A182" s="122"/>
    </row>
    <row r="183" spans="1:1" x14ac:dyDescent="0.2">
      <c r="A183" s="1"/>
    </row>
    <row r="184" spans="1:1" x14ac:dyDescent="0.2">
      <c r="A184" s="1"/>
    </row>
    <row r="185" spans="1:1" x14ac:dyDescent="0.2">
      <c r="A185" s="1"/>
    </row>
    <row r="186" spans="1:1" x14ac:dyDescent="0.2">
      <c r="A186" s="1"/>
    </row>
    <row r="187" spans="1:1" x14ac:dyDescent="0.2">
      <c r="A187" s="1"/>
    </row>
    <row r="191" spans="1:1" x14ac:dyDescent="0.2">
      <c r="A191" s="1"/>
    </row>
    <row r="192" spans="1:1" x14ac:dyDescent="0.2">
      <c r="A192" s="1"/>
    </row>
  </sheetData>
  <mergeCells count="5">
    <mergeCell ref="A7:AC7"/>
    <mergeCell ref="A2:AC2"/>
    <mergeCell ref="A3:AC3"/>
    <mergeCell ref="A5:AC5"/>
    <mergeCell ref="A6:AC6"/>
  </mergeCells>
  <phoneticPr fontId="2" type="noConversion"/>
  <printOptions horizontalCentered="1"/>
  <pageMargins left="0.35433070866141736" right="0.43307086614173229" top="0.51181102362204722" bottom="0.70866141732283472" header="0" footer="0"/>
  <pageSetup scale="80" orientation="landscape" horizontalDpi="4294967294" r:id="rId1"/>
  <headerFooter alignWithMargins="0"/>
  <ignoredErrors>
    <ignoredError sqref="AC7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2:E192"/>
  <sheetViews>
    <sheetView topLeftCell="A21" zoomScaleNormal="100" workbookViewId="0">
      <selection activeCell="F180" sqref="F180"/>
    </sheetView>
  </sheetViews>
  <sheetFormatPr baseColWidth="10" defaultRowHeight="12.75" x14ac:dyDescent="0.2"/>
  <cols>
    <col min="1" max="1" width="10.28515625" customWidth="1"/>
    <col min="2" max="2" width="46.42578125" style="119" customWidth="1"/>
    <col min="3" max="3" width="63.5703125" style="32" customWidth="1"/>
    <col min="4" max="4" width="13.5703125" style="32" customWidth="1"/>
  </cols>
  <sheetData>
    <row r="2" spans="1:5" ht="12.75" customHeight="1" x14ac:dyDescent="0.2">
      <c r="A2" s="336" t="s">
        <v>1</v>
      </c>
      <c r="B2" s="336"/>
      <c r="C2" s="336"/>
      <c r="D2" s="336"/>
      <c r="E2" s="36"/>
    </row>
    <row r="3" spans="1:5" ht="12.75" customHeight="1" x14ac:dyDescent="0.2">
      <c r="A3" s="336" t="s">
        <v>515</v>
      </c>
      <c r="B3" s="336"/>
      <c r="C3" s="336"/>
      <c r="D3" s="336"/>
      <c r="E3" s="71"/>
    </row>
    <row r="5" spans="1:5" x14ac:dyDescent="0.2">
      <c r="A5" s="336" t="s">
        <v>54</v>
      </c>
      <c r="B5" s="336"/>
      <c r="C5" s="336"/>
      <c r="D5" s="336"/>
      <c r="E5" s="71"/>
    </row>
    <row r="6" spans="1:5" x14ac:dyDescent="0.2">
      <c r="A6" s="336" t="s">
        <v>62</v>
      </c>
      <c r="B6" s="336"/>
      <c r="C6" s="336"/>
      <c r="D6" s="336"/>
      <c r="E6" s="71"/>
    </row>
    <row r="7" spans="1:5" x14ac:dyDescent="0.2">
      <c r="A7" s="338" t="s">
        <v>341</v>
      </c>
      <c r="B7" s="338"/>
      <c r="C7" s="338"/>
      <c r="D7" s="338"/>
      <c r="E7" s="71"/>
    </row>
    <row r="8" spans="1:5" ht="18" customHeight="1" thickBot="1" x14ac:dyDescent="0.25">
      <c r="D8" s="122"/>
    </row>
    <row r="9" spans="1:5" ht="23.25" thickBot="1" x14ac:dyDescent="0.25">
      <c r="A9" s="44" t="s">
        <v>283</v>
      </c>
      <c r="B9" s="44" t="s">
        <v>67</v>
      </c>
      <c r="C9" s="45" t="s">
        <v>55</v>
      </c>
      <c r="D9" s="45" t="s">
        <v>284</v>
      </c>
    </row>
    <row r="10" spans="1:5" x14ac:dyDescent="0.2">
      <c r="A10" s="105">
        <v>0</v>
      </c>
      <c r="B10" s="287" t="s">
        <v>87</v>
      </c>
      <c r="C10" s="236"/>
      <c r="D10" s="112">
        <f>D11+D15+D18+D24+D27+D32</f>
        <v>187286.46799999999</v>
      </c>
    </row>
    <row r="11" spans="1:5" x14ac:dyDescent="0.2">
      <c r="A11" s="106">
        <v>0.01</v>
      </c>
      <c r="B11" s="288" t="s">
        <v>9</v>
      </c>
      <c r="C11" s="237"/>
      <c r="D11" s="113">
        <f>D12+D13+D14</f>
        <v>144980</v>
      </c>
    </row>
    <row r="12" spans="1:5" hidden="1" x14ac:dyDescent="0.2">
      <c r="A12" s="33" t="s">
        <v>136</v>
      </c>
      <c r="B12" s="34" t="s">
        <v>137</v>
      </c>
      <c r="C12" s="104"/>
      <c r="D12" s="114">
        <f>'RESUM. GASTO SOLICIIT. SUBPART '!AC12</f>
        <v>0</v>
      </c>
    </row>
    <row r="13" spans="1:5" ht="22.5" x14ac:dyDescent="0.2">
      <c r="A13" s="33" t="s">
        <v>116</v>
      </c>
      <c r="B13" s="34" t="s">
        <v>110</v>
      </c>
      <c r="C13" s="104" t="s">
        <v>381</v>
      </c>
      <c r="D13" s="114">
        <f>'RESUM. GASTO SOLICIIT. SUBPART '!AC13</f>
        <v>144980</v>
      </c>
    </row>
    <row r="14" spans="1:5" hidden="1" x14ac:dyDescent="0.2">
      <c r="A14" s="27" t="s">
        <v>354</v>
      </c>
      <c r="B14" s="109" t="s">
        <v>355</v>
      </c>
      <c r="C14" s="104"/>
      <c r="D14" s="114">
        <f>'RESUM. GASTO SOLICIIT. SUBPART '!AC14</f>
        <v>0</v>
      </c>
    </row>
    <row r="15" spans="1:5" x14ac:dyDescent="0.2">
      <c r="A15" s="106">
        <v>0.02</v>
      </c>
      <c r="B15" s="288" t="s">
        <v>138</v>
      </c>
      <c r="C15" s="175"/>
      <c r="D15" s="113">
        <f>D16+D17</f>
        <v>2200</v>
      </c>
    </row>
    <row r="16" spans="1:5" hidden="1" x14ac:dyDescent="0.2">
      <c r="A16" s="33" t="s">
        <v>139</v>
      </c>
      <c r="B16" s="34" t="s">
        <v>140</v>
      </c>
      <c r="C16" s="104"/>
      <c r="D16" s="114">
        <f>'RESUM. GASTO SOLICIIT. SUBPART '!AC16</f>
        <v>0</v>
      </c>
    </row>
    <row r="17" spans="1:4" ht="22.5" x14ac:dyDescent="0.2">
      <c r="A17" s="33" t="s">
        <v>141</v>
      </c>
      <c r="B17" s="34" t="s">
        <v>142</v>
      </c>
      <c r="C17" s="104" t="s">
        <v>368</v>
      </c>
      <c r="D17" s="114">
        <f>'RESUM. GASTO SOLICIIT. SUBPART '!AC17</f>
        <v>2200</v>
      </c>
    </row>
    <row r="18" spans="1:4" x14ac:dyDescent="0.2">
      <c r="A18" s="106">
        <v>0.03</v>
      </c>
      <c r="B18" s="288" t="s">
        <v>117</v>
      </c>
      <c r="C18" s="175"/>
      <c r="D18" s="113">
        <f>D19+D20+D21+D22+D23</f>
        <v>12081.834000000001</v>
      </c>
    </row>
    <row r="19" spans="1:4" hidden="1" x14ac:dyDescent="0.2">
      <c r="A19" s="33" t="s">
        <v>143</v>
      </c>
      <c r="B19" s="34" t="s">
        <v>144</v>
      </c>
      <c r="C19" s="104"/>
      <c r="D19" s="114">
        <f>'RESUM. GASTO SOLICIIT. SUBPART '!AC19</f>
        <v>0</v>
      </c>
    </row>
    <row r="20" spans="1:4" hidden="1" x14ac:dyDescent="0.2">
      <c r="A20" s="33" t="s">
        <v>145</v>
      </c>
      <c r="B20" s="34" t="s">
        <v>10</v>
      </c>
      <c r="C20" s="104"/>
      <c r="D20" s="114">
        <f>'RESUM. GASTO SOLICIIT. SUBPART '!AC20</f>
        <v>0</v>
      </c>
    </row>
    <row r="21" spans="1:4" x14ac:dyDescent="0.2">
      <c r="A21" s="33" t="s">
        <v>109</v>
      </c>
      <c r="B21" s="109" t="s">
        <v>108</v>
      </c>
      <c r="C21" s="104" t="s">
        <v>383</v>
      </c>
      <c r="D21" s="114">
        <f>'RESUM. GASTO SOLICIIT. SUBPART '!AC21</f>
        <v>12081.834000000001</v>
      </c>
    </row>
    <row r="22" spans="1:4" hidden="1" x14ac:dyDescent="0.2">
      <c r="A22" s="33" t="s">
        <v>146</v>
      </c>
      <c r="B22" s="34" t="s">
        <v>147</v>
      </c>
      <c r="C22" s="104"/>
      <c r="D22" s="114">
        <f>'RESUM. GASTO SOLICIIT. SUBPART '!AC22</f>
        <v>0</v>
      </c>
    </row>
    <row r="23" spans="1:4" hidden="1" x14ac:dyDescent="0.2">
      <c r="A23" s="33" t="s">
        <v>148</v>
      </c>
      <c r="B23" s="34" t="s">
        <v>149</v>
      </c>
      <c r="C23" s="104"/>
      <c r="D23" s="114">
        <f>'RESUM. GASTO SOLICIIT. SUBPART '!AC23</f>
        <v>0</v>
      </c>
    </row>
    <row r="24" spans="1:4" ht="22.5" x14ac:dyDescent="0.2">
      <c r="A24" s="37">
        <v>0.04</v>
      </c>
      <c r="B24" s="38" t="s">
        <v>150</v>
      </c>
      <c r="C24" s="175"/>
      <c r="D24" s="49">
        <f>D25+D26</f>
        <v>14135.55</v>
      </c>
    </row>
    <row r="25" spans="1:4" ht="22.5" x14ac:dyDescent="0.2">
      <c r="A25" s="33" t="s">
        <v>68</v>
      </c>
      <c r="B25" s="35" t="s">
        <v>151</v>
      </c>
      <c r="C25" s="104" t="s">
        <v>45</v>
      </c>
      <c r="D25" s="114">
        <f>'RESUM. GASTO SOLICIIT. SUBPART '!AC25</f>
        <v>13410.65</v>
      </c>
    </row>
    <row r="26" spans="1:4" x14ac:dyDescent="0.2">
      <c r="A26" s="33" t="s">
        <v>69</v>
      </c>
      <c r="B26" s="34" t="s">
        <v>133</v>
      </c>
      <c r="C26" s="104" t="s">
        <v>45</v>
      </c>
      <c r="D26" s="114">
        <f>'RESUM. GASTO SOLICIIT. SUBPART '!AC26</f>
        <v>724.9</v>
      </c>
    </row>
    <row r="27" spans="1:4" ht="22.5" x14ac:dyDescent="0.2">
      <c r="A27" s="37">
        <v>0.05</v>
      </c>
      <c r="B27" s="38" t="s">
        <v>11</v>
      </c>
      <c r="C27" s="175"/>
      <c r="D27" s="49">
        <f>D28+D29+D30+D31</f>
        <v>13889.084000000001</v>
      </c>
    </row>
    <row r="28" spans="1:4" x14ac:dyDescent="0.2">
      <c r="A28" s="33" t="s">
        <v>70</v>
      </c>
      <c r="B28" s="34" t="s">
        <v>407</v>
      </c>
      <c r="C28" s="104" t="s">
        <v>45</v>
      </c>
      <c r="D28" s="114">
        <f>'RESUM. GASTO SOLICIIT. SUBPART '!AC28</f>
        <v>7364.9840000000004</v>
      </c>
    </row>
    <row r="29" spans="1:4" x14ac:dyDescent="0.2">
      <c r="A29" s="33" t="s">
        <v>71</v>
      </c>
      <c r="B29" s="34" t="s">
        <v>135</v>
      </c>
      <c r="C29" s="104" t="s">
        <v>45</v>
      </c>
      <c r="D29" s="114">
        <f>'RESUM. GASTO SOLICIIT. SUBPART '!AC29</f>
        <v>2174.6999999999998</v>
      </c>
    </row>
    <row r="30" spans="1:4" x14ac:dyDescent="0.2">
      <c r="A30" s="33" t="s">
        <v>72</v>
      </c>
      <c r="B30" s="34" t="s">
        <v>134</v>
      </c>
      <c r="C30" s="104" t="s">
        <v>45</v>
      </c>
      <c r="D30" s="114">
        <f>'RESUM. GASTO SOLICIIT. SUBPART '!AC30</f>
        <v>4349.3999999999996</v>
      </c>
    </row>
    <row r="31" spans="1:4" hidden="1" x14ac:dyDescent="0.2">
      <c r="A31" s="33" t="s">
        <v>152</v>
      </c>
      <c r="B31" s="34" t="s">
        <v>153</v>
      </c>
      <c r="C31" s="104"/>
      <c r="D31" s="114">
        <f>'RESUM. GASTO SOLICIIT. SUBPART '!AC31</f>
        <v>0</v>
      </c>
    </row>
    <row r="32" spans="1:4" hidden="1" x14ac:dyDescent="0.2">
      <c r="A32" s="37" t="s">
        <v>154</v>
      </c>
      <c r="B32" s="289" t="s">
        <v>155</v>
      </c>
      <c r="C32" s="175"/>
      <c r="D32" s="113">
        <f>D33</f>
        <v>0</v>
      </c>
    </row>
    <row r="33" spans="1:4" hidden="1" x14ac:dyDescent="0.2">
      <c r="A33" s="33" t="s">
        <v>156</v>
      </c>
      <c r="B33" s="34" t="s">
        <v>157</v>
      </c>
      <c r="C33" s="104"/>
      <c r="D33" s="114">
        <f>'RESUM. GASTO SOLICIIT. SUBPART '!AC33</f>
        <v>0</v>
      </c>
    </row>
    <row r="34" spans="1:4" x14ac:dyDescent="0.2">
      <c r="A34" s="106">
        <v>1</v>
      </c>
      <c r="B34" s="288" t="s">
        <v>88</v>
      </c>
      <c r="C34" s="175"/>
      <c r="D34" s="113">
        <f>D35+D41+D47+D55+D63+D68+D70+D74+D84+D86</f>
        <v>643463.07000000007</v>
      </c>
    </row>
    <row r="35" spans="1:4" x14ac:dyDescent="0.2">
      <c r="A35" s="106">
        <v>1.01</v>
      </c>
      <c r="B35" s="288" t="s">
        <v>118</v>
      </c>
      <c r="C35" s="175"/>
      <c r="D35" s="113">
        <f>D36+D37+D38+D39+D40</f>
        <v>13500</v>
      </c>
    </row>
    <row r="36" spans="1:4" x14ac:dyDescent="0.2">
      <c r="A36" s="33" t="s">
        <v>111</v>
      </c>
      <c r="B36" s="34" t="s">
        <v>119</v>
      </c>
      <c r="C36" s="104" t="s">
        <v>518</v>
      </c>
      <c r="D36" s="114">
        <f>'RESUM. GASTO SOLICIIT. SUBPART '!AC36</f>
        <v>11500</v>
      </c>
    </row>
    <row r="37" spans="1:4" x14ac:dyDescent="0.2">
      <c r="A37" s="34" t="s">
        <v>73</v>
      </c>
      <c r="B37" s="34" t="s">
        <v>120</v>
      </c>
      <c r="C37" s="104" t="s">
        <v>540</v>
      </c>
      <c r="D37" s="114">
        <f>'RESUM. GASTO SOLICIIT. SUBPART '!AC37</f>
        <v>2000</v>
      </c>
    </row>
    <row r="38" spans="1:4" s="32" customFormat="1" hidden="1" x14ac:dyDescent="0.2">
      <c r="A38" s="109" t="s">
        <v>26</v>
      </c>
      <c r="B38" s="109" t="s">
        <v>27</v>
      </c>
      <c r="C38" s="104"/>
      <c r="D38" s="114">
        <f>'RESUM. GASTO SOLICIIT. SUBPART '!AC38</f>
        <v>0</v>
      </c>
    </row>
    <row r="39" spans="1:4" hidden="1" x14ac:dyDescent="0.2">
      <c r="A39" s="33" t="s">
        <v>158</v>
      </c>
      <c r="B39" s="34" t="s">
        <v>498</v>
      </c>
      <c r="C39" s="104"/>
      <c r="D39" s="114">
        <f>'RESUM. GASTO SOLICIIT. SUBPART '!AC39</f>
        <v>0</v>
      </c>
    </row>
    <row r="40" spans="1:4" hidden="1" x14ac:dyDescent="0.2">
      <c r="A40" s="33" t="s">
        <v>159</v>
      </c>
      <c r="B40" s="34" t="s">
        <v>160</v>
      </c>
      <c r="C40" s="104"/>
      <c r="D40" s="114">
        <f>'RESUM. GASTO SOLICIIT. SUBPART '!AC40</f>
        <v>0</v>
      </c>
    </row>
    <row r="41" spans="1:4" x14ac:dyDescent="0.2">
      <c r="A41" s="106">
        <v>1.02</v>
      </c>
      <c r="B41" s="288" t="s">
        <v>12</v>
      </c>
      <c r="C41" s="175"/>
      <c r="D41" s="113">
        <f>D42+D43+D44+D45+D46</f>
        <v>49170</v>
      </c>
    </row>
    <row r="42" spans="1:4" ht="33.75" x14ac:dyDescent="0.2">
      <c r="A42" s="107" t="s">
        <v>161</v>
      </c>
      <c r="B42" s="34" t="s">
        <v>162</v>
      </c>
      <c r="C42" s="104" t="s">
        <v>401</v>
      </c>
      <c r="D42" s="114">
        <f>'RESUM. GASTO SOLICIIT. SUBPART '!AC42</f>
        <v>6750</v>
      </c>
    </row>
    <row r="43" spans="1:4" ht="22.5" x14ac:dyDescent="0.2">
      <c r="A43" s="107" t="s">
        <v>163</v>
      </c>
      <c r="B43" s="34" t="s">
        <v>164</v>
      </c>
      <c r="C43" s="104" t="s">
        <v>384</v>
      </c>
      <c r="D43" s="114">
        <f>'RESUM. GASTO SOLICIIT. SUBPART '!AC43</f>
        <v>16750</v>
      </c>
    </row>
    <row r="44" spans="1:4" ht="22.5" x14ac:dyDescent="0.2">
      <c r="A44" s="107" t="s">
        <v>165</v>
      </c>
      <c r="B44" s="34" t="s">
        <v>166</v>
      </c>
      <c r="C44" s="104" t="s">
        <v>422</v>
      </c>
      <c r="D44" s="114">
        <f>'RESUM. GASTO SOLICIIT. SUBPART '!AC44</f>
        <v>50</v>
      </c>
    </row>
    <row r="45" spans="1:4" ht="56.25" x14ac:dyDescent="0.2">
      <c r="A45" s="107" t="s">
        <v>167</v>
      </c>
      <c r="B45" s="34" t="s">
        <v>168</v>
      </c>
      <c r="C45" s="104" t="s">
        <v>423</v>
      </c>
      <c r="D45" s="114">
        <f>'RESUM. GASTO SOLICIIT. SUBPART '!AC45</f>
        <v>25500</v>
      </c>
    </row>
    <row r="46" spans="1:4" x14ac:dyDescent="0.2">
      <c r="A46" s="107" t="s">
        <v>169</v>
      </c>
      <c r="B46" s="34" t="s">
        <v>170</v>
      </c>
      <c r="C46" s="104" t="s">
        <v>525</v>
      </c>
      <c r="D46" s="114">
        <f>'RESUM. GASTO SOLICIIT. SUBPART '!AC46</f>
        <v>120</v>
      </c>
    </row>
    <row r="47" spans="1:4" x14ac:dyDescent="0.2">
      <c r="A47" s="108">
        <v>1.03</v>
      </c>
      <c r="B47" s="288" t="s">
        <v>74</v>
      </c>
      <c r="C47" s="175"/>
      <c r="D47" s="113">
        <f>D48+D49+D50+D51+D52+D53+D54</f>
        <v>7110</v>
      </c>
    </row>
    <row r="48" spans="1:4" ht="33.75" x14ac:dyDescent="0.2">
      <c r="A48" s="107" t="s">
        <v>171</v>
      </c>
      <c r="B48" s="34" t="s">
        <v>172</v>
      </c>
      <c r="C48" s="104" t="s">
        <v>402</v>
      </c>
      <c r="D48" s="114">
        <f>'RESUM. GASTO SOLICIIT. SUBPART '!AC48</f>
        <v>1500</v>
      </c>
    </row>
    <row r="49" spans="1:4" ht="22.5" x14ac:dyDescent="0.2">
      <c r="A49" s="107" t="s">
        <v>173</v>
      </c>
      <c r="B49" s="34" t="s">
        <v>174</v>
      </c>
      <c r="C49" s="104" t="s">
        <v>539</v>
      </c>
      <c r="D49" s="114">
        <f>'RESUM. GASTO SOLICIIT. SUBPART '!AC49</f>
        <v>360</v>
      </c>
    </row>
    <row r="50" spans="1:4" ht="45" x14ac:dyDescent="0.2">
      <c r="A50" s="34" t="s">
        <v>75</v>
      </c>
      <c r="B50" s="34" t="s">
        <v>89</v>
      </c>
      <c r="C50" s="104" t="s">
        <v>543</v>
      </c>
      <c r="D50" s="114">
        <f>'RESUM. GASTO SOLICIIT. SUBPART '!AC50</f>
        <v>4500</v>
      </c>
    </row>
    <row r="51" spans="1:4" hidden="1" x14ac:dyDescent="0.2">
      <c r="A51" s="107" t="s">
        <v>175</v>
      </c>
      <c r="B51" s="34" t="s">
        <v>176</v>
      </c>
      <c r="C51" s="104"/>
      <c r="D51" s="114">
        <f>'RESUM. GASTO SOLICIIT. SUBPART '!AC51</f>
        <v>0</v>
      </c>
    </row>
    <row r="52" spans="1:4" x14ac:dyDescent="0.2">
      <c r="A52" s="107" t="s">
        <v>177</v>
      </c>
      <c r="B52" s="109" t="s">
        <v>178</v>
      </c>
      <c r="C52" s="104" t="s">
        <v>541</v>
      </c>
      <c r="D52" s="114">
        <f>'RESUM. GASTO SOLICIIT. SUBPART '!AC52</f>
        <v>250</v>
      </c>
    </row>
    <row r="53" spans="1:4" ht="22.5" x14ac:dyDescent="0.2">
      <c r="A53" s="33" t="s">
        <v>179</v>
      </c>
      <c r="B53" s="34" t="s">
        <v>180</v>
      </c>
      <c r="C53" s="104" t="s">
        <v>363</v>
      </c>
      <c r="D53" s="114">
        <f>'RESUM. GASTO SOLICIIT. SUBPART '!AC53</f>
        <v>500</v>
      </c>
    </row>
    <row r="54" spans="1:4" hidden="1" x14ac:dyDescent="0.2">
      <c r="A54" s="33" t="s">
        <v>181</v>
      </c>
      <c r="B54" s="34" t="s">
        <v>499</v>
      </c>
      <c r="C54" s="104"/>
      <c r="D54" s="114">
        <f>'RESUM. GASTO SOLICIIT. SUBPART '!AC54</f>
        <v>0</v>
      </c>
    </row>
    <row r="55" spans="1:4" x14ac:dyDescent="0.2">
      <c r="A55" s="106">
        <v>1.04</v>
      </c>
      <c r="B55" s="288" t="s">
        <v>13</v>
      </c>
      <c r="C55" s="175"/>
      <c r="D55" s="113">
        <f>D56+D57+D58+D59+D60+D61+D62</f>
        <v>323176</v>
      </c>
    </row>
    <row r="56" spans="1:4" ht="45" x14ac:dyDescent="0.2">
      <c r="A56" s="33" t="s">
        <v>182</v>
      </c>
      <c r="B56" s="34" t="s">
        <v>500</v>
      </c>
      <c r="C56" s="104" t="s">
        <v>552</v>
      </c>
      <c r="D56" s="114">
        <f>'RESUM. GASTO SOLICIIT. SUBPART '!AC56</f>
        <v>3850</v>
      </c>
    </row>
    <row r="57" spans="1:4" s="32" customFormat="1" hidden="1" x14ac:dyDescent="0.2">
      <c r="A57" s="107" t="s">
        <v>28</v>
      </c>
      <c r="B57" s="109" t="s">
        <v>29</v>
      </c>
      <c r="C57" s="104"/>
      <c r="D57" s="114">
        <f>'RESUM. GASTO SOLICIIT. SUBPART '!AC57</f>
        <v>0</v>
      </c>
    </row>
    <row r="58" spans="1:4" x14ac:dyDescent="0.2">
      <c r="A58" s="34" t="s">
        <v>112</v>
      </c>
      <c r="B58" s="34" t="s">
        <v>501</v>
      </c>
      <c r="C58" s="104" t="s">
        <v>544</v>
      </c>
      <c r="D58" s="114">
        <f>'RESUM. GASTO SOLICIIT. SUBPART '!AC58</f>
        <v>1000</v>
      </c>
    </row>
    <row r="59" spans="1:4" hidden="1" x14ac:dyDescent="0.2">
      <c r="A59" s="33" t="s">
        <v>76</v>
      </c>
      <c r="B59" s="34" t="s">
        <v>90</v>
      </c>
      <c r="C59" s="104"/>
      <c r="D59" s="114">
        <f>'RESUM. GASTO SOLICIIT. SUBPART '!AC59</f>
        <v>0</v>
      </c>
    </row>
    <row r="60" spans="1:4" ht="45" x14ac:dyDescent="0.2">
      <c r="A60" s="33" t="s">
        <v>77</v>
      </c>
      <c r="B60" s="109" t="s">
        <v>502</v>
      </c>
      <c r="C60" s="104" t="s">
        <v>528</v>
      </c>
      <c r="D60" s="114">
        <f>'RESUM. GASTO SOLICIIT. SUBPART '!AC60</f>
        <v>14000</v>
      </c>
    </row>
    <row r="61" spans="1:4" ht="45" x14ac:dyDescent="0.2">
      <c r="A61" s="107" t="s">
        <v>121</v>
      </c>
      <c r="B61" s="34" t="s">
        <v>126</v>
      </c>
      <c r="C61" s="104" t="s">
        <v>424</v>
      </c>
      <c r="D61" s="114">
        <f>'RESUM. GASTO SOLICIIT. SUBPART '!AC61</f>
        <v>293976</v>
      </c>
    </row>
    <row r="62" spans="1:4" ht="101.25" x14ac:dyDescent="0.2">
      <c r="A62" s="33" t="s">
        <v>183</v>
      </c>
      <c r="B62" s="34" t="s">
        <v>184</v>
      </c>
      <c r="C62" s="104" t="s">
        <v>542</v>
      </c>
      <c r="D62" s="114">
        <f>'RESUM. GASTO SOLICIIT. SUBPART '!AC62</f>
        <v>10350</v>
      </c>
    </row>
    <row r="63" spans="1:4" x14ac:dyDescent="0.2">
      <c r="A63" s="106">
        <v>1.05</v>
      </c>
      <c r="B63" s="288" t="s">
        <v>91</v>
      </c>
      <c r="C63" s="175"/>
      <c r="D63" s="113">
        <f>D64+D65+D66+D67</f>
        <v>93732.07</v>
      </c>
    </row>
    <row r="64" spans="1:4" ht="22.5" x14ac:dyDescent="0.2">
      <c r="A64" s="33" t="s">
        <v>185</v>
      </c>
      <c r="B64" s="34" t="s">
        <v>186</v>
      </c>
      <c r="C64" s="104" t="s">
        <v>534</v>
      </c>
      <c r="D64" s="114">
        <f>'RESUM. GASTO SOLICIIT. SUBPART '!AC64</f>
        <v>5100</v>
      </c>
    </row>
    <row r="65" spans="1:4" ht="45" x14ac:dyDescent="0.2">
      <c r="A65" s="33" t="s">
        <v>78</v>
      </c>
      <c r="B65" s="34" t="s">
        <v>92</v>
      </c>
      <c r="C65" s="104" t="s">
        <v>535</v>
      </c>
      <c r="D65" s="114">
        <f>'RESUM. GASTO SOLICIIT. SUBPART '!AC65</f>
        <v>88632.07</v>
      </c>
    </row>
    <row r="66" spans="1:4" hidden="1" x14ac:dyDescent="0.2">
      <c r="A66" s="33" t="s">
        <v>187</v>
      </c>
      <c r="B66" s="34" t="s">
        <v>188</v>
      </c>
      <c r="C66" s="104"/>
      <c r="D66" s="114">
        <f>'RESUM. GASTO SOLICIIT. SUBPART '!AC66</f>
        <v>0</v>
      </c>
    </row>
    <row r="67" spans="1:4" hidden="1" x14ac:dyDescent="0.2">
      <c r="A67" s="33" t="s">
        <v>189</v>
      </c>
      <c r="B67" s="34" t="s">
        <v>190</v>
      </c>
      <c r="C67" s="104"/>
      <c r="D67" s="114">
        <f>'RESUM. GASTO SOLICIIT. SUBPART '!AC67</f>
        <v>0</v>
      </c>
    </row>
    <row r="68" spans="1:4" x14ac:dyDescent="0.2">
      <c r="A68" s="106">
        <v>1.06</v>
      </c>
      <c r="B68" s="288" t="s">
        <v>191</v>
      </c>
      <c r="C68" s="175"/>
      <c r="D68" s="113">
        <f>D69</f>
        <v>77025</v>
      </c>
    </row>
    <row r="69" spans="1:4" ht="33.75" x14ac:dyDescent="0.2">
      <c r="A69" s="33" t="s">
        <v>192</v>
      </c>
      <c r="B69" s="34" t="s">
        <v>193</v>
      </c>
      <c r="C69" s="104" t="s">
        <v>409</v>
      </c>
      <c r="D69" s="114">
        <f>'RESUM. GASTO SOLICIIT. SUBPART '!AC69</f>
        <v>77025</v>
      </c>
    </row>
    <row r="70" spans="1:4" x14ac:dyDescent="0.2">
      <c r="A70" s="106">
        <v>1.07</v>
      </c>
      <c r="B70" s="288" t="s">
        <v>14</v>
      </c>
      <c r="C70" s="175"/>
      <c r="D70" s="113">
        <f>D71+D72+D73</f>
        <v>13650</v>
      </c>
    </row>
    <row r="71" spans="1:4" ht="225" x14ac:dyDescent="0.2">
      <c r="A71" s="34" t="s">
        <v>79</v>
      </c>
      <c r="B71" s="34" t="s">
        <v>94</v>
      </c>
      <c r="C71" s="104" t="s">
        <v>545</v>
      </c>
      <c r="D71" s="114">
        <f>'RESUM. GASTO SOLICIIT. SUBPART '!AC71</f>
        <v>13650</v>
      </c>
    </row>
    <row r="72" spans="1:4" hidden="1" x14ac:dyDescent="0.2">
      <c r="A72" s="33" t="s">
        <v>194</v>
      </c>
      <c r="B72" s="34" t="s">
        <v>195</v>
      </c>
      <c r="C72" s="104"/>
      <c r="D72" s="114">
        <f>'RESUM. GASTO SOLICIIT. SUBPART '!AC72</f>
        <v>0</v>
      </c>
    </row>
    <row r="73" spans="1:4" hidden="1" x14ac:dyDescent="0.2">
      <c r="A73" s="33" t="s">
        <v>375</v>
      </c>
      <c r="B73" s="34" t="s">
        <v>376</v>
      </c>
      <c r="C73" s="104"/>
      <c r="D73" s="114">
        <f>'RESUM. GASTO SOLICIIT. SUBPART '!AC73</f>
        <v>0</v>
      </c>
    </row>
    <row r="74" spans="1:4" x14ac:dyDescent="0.2">
      <c r="A74" s="106">
        <v>1.08</v>
      </c>
      <c r="B74" s="288" t="s">
        <v>15</v>
      </c>
      <c r="C74" s="175"/>
      <c r="D74" s="113">
        <f>D75+D76+D77+D78+D79+D80+D81+D82+D83</f>
        <v>61550</v>
      </c>
    </row>
    <row r="75" spans="1:4" ht="22.5" x14ac:dyDescent="0.2">
      <c r="A75" s="33" t="s">
        <v>80</v>
      </c>
      <c r="B75" s="34" t="s">
        <v>93</v>
      </c>
      <c r="C75" s="104" t="s">
        <v>530</v>
      </c>
      <c r="D75" s="114">
        <f>'RESUM. GASTO SOLICIIT. SUBPART '!AC75</f>
        <v>3000</v>
      </c>
    </row>
    <row r="76" spans="1:4" x14ac:dyDescent="0.2">
      <c r="A76" s="33" t="s">
        <v>196</v>
      </c>
      <c r="B76" s="34" t="s">
        <v>503</v>
      </c>
      <c r="C76" s="104" t="s">
        <v>414</v>
      </c>
      <c r="D76" s="114">
        <f>'RESUM. GASTO SOLICIIT. SUBPART '!AC76</f>
        <v>5000</v>
      </c>
    </row>
    <row r="77" spans="1:4" hidden="1" x14ac:dyDescent="0.2">
      <c r="A77" s="33" t="s">
        <v>197</v>
      </c>
      <c r="B77" s="34" t="s">
        <v>198</v>
      </c>
      <c r="C77" s="104"/>
      <c r="D77" s="114">
        <f>'RESUM. GASTO SOLICIIT. SUBPART '!AC77</f>
        <v>0</v>
      </c>
    </row>
    <row r="78" spans="1:4" ht="45" x14ac:dyDescent="0.2">
      <c r="A78" s="34" t="s">
        <v>113</v>
      </c>
      <c r="B78" s="34" t="s">
        <v>504</v>
      </c>
      <c r="C78" s="104" t="s">
        <v>526</v>
      </c>
      <c r="D78" s="114">
        <f>'RESUM. GASTO SOLICIIT. SUBPART '!AC78</f>
        <v>5150</v>
      </c>
    </row>
    <row r="79" spans="1:4" x14ac:dyDescent="0.2">
      <c r="A79" s="34" t="s">
        <v>81</v>
      </c>
      <c r="B79" s="34" t="s">
        <v>95</v>
      </c>
      <c r="C79" s="104" t="s">
        <v>410</v>
      </c>
      <c r="D79" s="114">
        <f>'RESUM. GASTO SOLICIIT. SUBPART '!AC79</f>
        <v>32500</v>
      </c>
    </row>
    <row r="80" spans="1:4" hidden="1" x14ac:dyDescent="0.2">
      <c r="A80" s="107" t="s">
        <v>199</v>
      </c>
      <c r="B80" s="109" t="s">
        <v>507</v>
      </c>
      <c r="C80" s="104"/>
      <c r="D80" s="114">
        <f>'RESUM. GASTO SOLICIIT. SUBPART '!AC80</f>
        <v>0</v>
      </c>
    </row>
    <row r="81" spans="1:4" ht="22.5" x14ac:dyDescent="0.2">
      <c r="A81" s="33" t="s">
        <v>200</v>
      </c>
      <c r="B81" s="34" t="s">
        <v>505</v>
      </c>
      <c r="C81" s="104" t="s">
        <v>531</v>
      </c>
      <c r="D81" s="114">
        <f>'RESUM. GASTO SOLICIIT. SUBPART '!AC81</f>
        <v>6000</v>
      </c>
    </row>
    <row r="82" spans="1:4" x14ac:dyDescent="0.2">
      <c r="A82" s="33" t="s">
        <v>201</v>
      </c>
      <c r="B82" s="34" t="s">
        <v>506</v>
      </c>
      <c r="C82" s="104" t="s">
        <v>415</v>
      </c>
      <c r="D82" s="114">
        <f>'RESUM. GASTO SOLICIIT. SUBPART '!AC82</f>
        <v>1000</v>
      </c>
    </row>
    <row r="83" spans="1:4" ht="45" x14ac:dyDescent="0.2">
      <c r="A83" s="33" t="s">
        <v>202</v>
      </c>
      <c r="B83" s="34" t="s">
        <v>203</v>
      </c>
      <c r="C83" s="104" t="s">
        <v>532</v>
      </c>
      <c r="D83" s="114">
        <f>'RESUM. GASTO SOLICIIT. SUBPART '!AC83</f>
        <v>8900</v>
      </c>
    </row>
    <row r="84" spans="1:4" x14ac:dyDescent="0.2">
      <c r="A84" s="158">
        <v>1.0900000000000001</v>
      </c>
      <c r="B84" s="290" t="s">
        <v>357</v>
      </c>
      <c r="C84" s="104"/>
      <c r="D84" s="113">
        <f>D85</f>
        <v>200</v>
      </c>
    </row>
    <row r="85" spans="1:4" x14ac:dyDescent="0.2">
      <c r="A85" s="27" t="s">
        <v>356</v>
      </c>
      <c r="B85" s="109" t="s">
        <v>358</v>
      </c>
      <c r="C85" s="104" t="s">
        <v>408</v>
      </c>
      <c r="D85" s="114">
        <f>'RESUM. GASTO SOLICIIT. SUBPART '!AC85</f>
        <v>200</v>
      </c>
    </row>
    <row r="86" spans="1:4" x14ac:dyDescent="0.2">
      <c r="A86" s="106">
        <v>1.99</v>
      </c>
      <c r="B86" s="288" t="s">
        <v>204</v>
      </c>
      <c r="C86" s="175"/>
      <c r="D86" s="113">
        <f>D87+D88+D89+D90</f>
        <v>4350</v>
      </c>
    </row>
    <row r="87" spans="1:4" x14ac:dyDescent="0.2">
      <c r="A87" s="110" t="s">
        <v>205</v>
      </c>
      <c r="B87" s="291" t="s">
        <v>206</v>
      </c>
      <c r="C87" s="104" t="s">
        <v>46</v>
      </c>
      <c r="D87" s="115">
        <f>'RESUM. GASTO SOLICIIT. SUBPART '!AC87</f>
        <v>500</v>
      </c>
    </row>
    <row r="88" spans="1:4" s="32" customFormat="1" x14ac:dyDescent="0.2">
      <c r="A88" s="159" t="s">
        <v>30</v>
      </c>
      <c r="B88" s="292" t="s">
        <v>31</v>
      </c>
      <c r="C88" s="104"/>
      <c r="D88" s="115">
        <f>'RESUM. GASTO SOLICIIT. SUBPART '!AC88</f>
        <v>0</v>
      </c>
    </row>
    <row r="89" spans="1:4" ht="22.5" x14ac:dyDescent="0.2">
      <c r="A89" s="110" t="s">
        <v>207</v>
      </c>
      <c r="B89" s="291" t="s">
        <v>208</v>
      </c>
      <c r="C89" s="104" t="s">
        <v>47</v>
      </c>
      <c r="D89" s="115">
        <f>'RESUM. GASTO SOLICIIT. SUBPART '!AC89</f>
        <v>3750</v>
      </c>
    </row>
    <row r="90" spans="1:4" x14ac:dyDescent="0.2">
      <c r="A90" s="33" t="s">
        <v>209</v>
      </c>
      <c r="B90" s="34" t="s">
        <v>210</v>
      </c>
      <c r="C90" s="104" t="s">
        <v>425</v>
      </c>
      <c r="D90" s="115">
        <f>'RESUM. GASTO SOLICIIT. SUBPART '!AC90</f>
        <v>100</v>
      </c>
    </row>
    <row r="91" spans="1:4" x14ac:dyDescent="0.2">
      <c r="A91" s="108">
        <v>2</v>
      </c>
      <c r="B91" s="288" t="s">
        <v>96</v>
      </c>
      <c r="C91" s="175"/>
      <c r="D91" s="113">
        <f>D92+D98+D103+D111+D114+D117</f>
        <v>222735.3</v>
      </c>
    </row>
    <row r="92" spans="1:4" x14ac:dyDescent="0.2">
      <c r="A92" s="106">
        <v>2.0099999999999998</v>
      </c>
      <c r="B92" s="288" t="s">
        <v>16</v>
      </c>
      <c r="C92" s="175"/>
      <c r="D92" s="113">
        <f>D93+D94+D95+D96+D97</f>
        <v>118003</v>
      </c>
    </row>
    <row r="93" spans="1:4" ht="45" x14ac:dyDescent="0.2">
      <c r="A93" s="34" t="s">
        <v>82</v>
      </c>
      <c r="B93" s="34" t="s">
        <v>97</v>
      </c>
      <c r="C93" s="104" t="s">
        <v>536</v>
      </c>
      <c r="D93" s="114">
        <f>'RESUM. GASTO SOLICIIT. SUBPART '!AC93</f>
        <v>84903</v>
      </c>
    </row>
    <row r="94" spans="1:4" hidden="1" x14ac:dyDescent="0.2">
      <c r="A94" s="33" t="s">
        <v>211</v>
      </c>
      <c r="B94" s="34" t="s">
        <v>17</v>
      </c>
      <c r="C94" s="104"/>
      <c r="D94" s="114">
        <f>'RESUM. GASTO SOLICIIT. SUBPART '!AC94</f>
        <v>0</v>
      </c>
    </row>
    <row r="95" spans="1:4" ht="22.5" x14ac:dyDescent="0.2">
      <c r="A95" s="33" t="s">
        <v>212</v>
      </c>
      <c r="B95" s="34" t="s">
        <v>213</v>
      </c>
      <c r="C95" s="104" t="s">
        <v>405</v>
      </c>
      <c r="D95" s="114">
        <f>'RESUM. GASTO SOLICIIT. SUBPART '!AC95</f>
        <v>3000</v>
      </c>
    </row>
    <row r="96" spans="1:4" ht="22.5" x14ac:dyDescent="0.2">
      <c r="A96" s="33" t="s">
        <v>83</v>
      </c>
      <c r="B96" s="34" t="s">
        <v>98</v>
      </c>
      <c r="C96" s="104" t="s">
        <v>426</v>
      </c>
      <c r="D96" s="114">
        <f>'RESUM. GASTO SOLICIIT. SUBPART '!AC96</f>
        <v>10100</v>
      </c>
    </row>
    <row r="97" spans="1:4" ht="22.5" x14ac:dyDescent="0.2">
      <c r="A97" s="34" t="s">
        <v>114</v>
      </c>
      <c r="B97" s="34" t="s">
        <v>127</v>
      </c>
      <c r="C97" s="104" t="s">
        <v>411</v>
      </c>
      <c r="D97" s="114">
        <f>'RESUM. GASTO SOLICIIT. SUBPART '!AC97</f>
        <v>20000</v>
      </c>
    </row>
    <row r="98" spans="1:4" x14ac:dyDescent="0.2">
      <c r="A98" s="106">
        <v>2.02</v>
      </c>
      <c r="B98" s="288" t="s">
        <v>99</v>
      </c>
      <c r="C98" s="175"/>
      <c r="D98" s="113">
        <f>D99+D100+D101+D102</f>
        <v>47350</v>
      </c>
    </row>
    <row r="99" spans="1:4" hidden="1" x14ac:dyDescent="0.2">
      <c r="A99" s="33" t="s">
        <v>214</v>
      </c>
      <c r="B99" s="34" t="s">
        <v>215</v>
      </c>
      <c r="C99" s="104"/>
      <c r="D99" s="114">
        <f>'RESUM. GASTO SOLICIIT. SUBPART '!AC99</f>
        <v>0</v>
      </c>
    </row>
    <row r="100" spans="1:4" ht="22.5" x14ac:dyDescent="0.2">
      <c r="A100" s="33" t="s">
        <v>122</v>
      </c>
      <c r="B100" s="34" t="s">
        <v>128</v>
      </c>
      <c r="C100" s="104" t="s">
        <v>546</v>
      </c>
      <c r="D100" s="114">
        <f>'RESUM. GASTO SOLICIIT. SUBPART '!AC100</f>
        <v>200</v>
      </c>
    </row>
    <row r="101" spans="1:4" x14ac:dyDescent="0.2">
      <c r="A101" s="33" t="s">
        <v>216</v>
      </c>
      <c r="B101" s="34" t="s">
        <v>217</v>
      </c>
      <c r="C101" s="104" t="s">
        <v>403</v>
      </c>
      <c r="D101" s="114">
        <f>'RESUM. GASTO SOLICIIT. SUBPART '!AC101</f>
        <v>150</v>
      </c>
    </row>
    <row r="102" spans="1:4" x14ac:dyDescent="0.2">
      <c r="A102" s="33" t="s">
        <v>218</v>
      </c>
      <c r="B102" s="34" t="s">
        <v>219</v>
      </c>
      <c r="C102" s="104" t="s">
        <v>369</v>
      </c>
      <c r="D102" s="114">
        <f>'RESUM. GASTO SOLICIIT. SUBPART '!AC102</f>
        <v>47000</v>
      </c>
    </row>
    <row r="103" spans="1:4" x14ac:dyDescent="0.2">
      <c r="A103" s="106">
        <v>2.0299999999999998</v>
      </c>
      <c r="B103" s="288" t="s">
        <v>220</v>
      </c>
      <c r="C103" s="175"/>
      <c r="D103" s="113">
        <f>D104+D105+D106+D107+D108+D109+D110</f>
        <v>12030</v>
      </c>
    </row>
    <row r="104" spans="1:4" ht="33.75" x14ac:dyDescent="0.2">
      <c r="A104" s="33" t="s">
        <v>221</v>
      </c>
      <c r="B104" s="34" t="s">
        <v>222</v>
      </c>
      <c r="C104" s="104" t="s">
        <v>370</v>
      </c>
      <c r="D104" s="114">
        <f>'RESUM. GASTO SOLICIIT. SUBPART '!AC104</f>
        <v>4300</v>
      </c>
    </row>
    <row r="105" spans="1:4" ht="33.75" x14ac:dyDescent="0.2">
      <c r="A105" s="33" t="s">
        <v>223</v>
      </c>
      <c r="B105" s="34" t="s">
        <v>224</v>
      </c>
      <c r="C105" s="104" t="s">
        <v>406</v>
      </c>
      <c r="D105" s="114">
        <f>'RESUM. GASTO SOLICIIT. SUBPART '!AC105</f>
        <v>900</v>
      </c>
    </row>
    <row r="106" spans="1:4" ht="33.75" x14ac:dyDescent="0.2">
      <c r="A106" s="33" t="s">
        <v>225</v>
      </c>
      <c r="B106" s="34" t="s">
        <v>226</v>
      </c>
      <c r="C106" s="104" t="s">
        <v>547</v>
      </c>
      <c r="D106" s="114">
        <f>'RESUM. GASTO SOLICIIT. SUBPART '!AC106</f>
        <v>1200</v>
      </c>
    </row>
    <row r="107" spans="1:4" ht="33.75" x14ac:dyDescent="0.2">
      <c r="A107" s="33" t="s">
        <v>227</v>
      </c>
      <c r="B107" s="34" t="s">
        <v>228</v>
      </c>
      <c r="C107" s="104" t="s">
        <v>421</v>
      </c>
      <c r="D107" s="114">
        <f>'RESUM. GASTO SOLICIIT. SUBPART '!AC107</f>
        <v>780</v>
      </c>
    </row>
    <row r="108" spans="1:4" x14ac:dyDescent="0.2">
      <c r="A108" s="107" t="s">
        <v>229</v>
      </c>
      <c r="B108" s="109" t="s">
        <v>230</v>
      </c>
      <c r="C108" s="104" t="s">
        <v>53</v>
      </c>
      <c r="D108" s="114">
        <f>'RESUM. GASTO SOLICIIT. SUBPART '!AC108</f>
        <v>350</v>
      </c>
    </row>
    <row r="109" spans="1:4" ht="33.75" x14ac:dyDescent="0.2">
      <c r="A109" s="33" t="s">
        <v>231</v>
      </c>
      <c r="B109" s="34" t="s">
        <v>232</v>
      </c>
      <c r="C109" s="104" t="s">
        <v>427</v>
      </c>
      <c r="D109" s="114">
        <f>'RESUM. GASTO SOLICIIT. SUBPART '!AC109</f>
        <v>3750</v>
      </c>
    </row>
    <row r="110" spans="1:4" ht="22.5" x14ac:dyDescent="0.2">
      <c r="A110" s="33" t="s">
        <v>233</v>
      </c>
      <c r="B110" s="34" t="s">
        <v>234</v>
      </c>
      <c r="C110" s="104" t="s">
        <v>371</v>
      </c>
      <c r="D110" s="114">
        <f>'RESUM. GASTO SOLICIIT. SUBPART '!AC110</f>
        <v>750</v>
      </c>
    </row>
    <row r="111" spans="1:4" x14ac:dyDescent="0.2">
      <c r="A111" s="106" t="s">
        <v>100</v>
      </c>
      <c r="B111" s="288" t="s">
        <v>102</v>
      </c>
      <c r="C111" s="175"/>
      <c r="D111" s="113">
        <f>D112+D113</f>
        <v>25915</v>
      </c>
    </row>
    <row r="112" spans="1:4" ht="22.5" x14ac:dyDescent="0.2">
      <c r="A112" s="33" t="s">
        <v>101</v>
      </c>
      <c r="B112" s="34" t="s">
        <v>103</v>
      </c>
      <c r="C112" s="104" t="s">
        <v>372</v>
      </c>
      <c r="D112" s="114">
        <f>'RESUM. GASTO SOLICIIT. SUBPART '!AC112</f>
        <v>3465</v>
      </c>
    </row>
    <row r="113" spans="1:4" ht="22.5" x14ac:dyDescent="0.2">
      <c r="A113" s="33" t="s">
        <v>84</v>
      </c>
      <c r="B113" s="34" t="s">
        <v>104</v>
      </c>
      <c r="C113" s="104" t="s">
        <v>538</v>
      </c>
      <c r="D113" s="114">
        <f>'RESUM. GASTO SOLICIIT. SUBPART '!AC113</f>
        <v>22450</v>
      </c>
    </row>
    <row r="114" spans="1:4" hidden="1" x14ac:dyDescent="0.2">
      <c r="A114" s="106">
        <v>2.0499999999999998</v>
      </c>
      <c r="B114" s="288" t="s">
        <v>18</v>
      </c>
      <c r="C114" s="175"/>
      <c r="D114" s="113">
        <f>D115+D116</f>
        <v>0</v>
      </c>
    </row>
    <row r="115" spans="1:4" hidden="1" x14ac:dyDescent="0.2">
      <c r="A115" s="33" t="s">
        <v>235</v>
      </c>
      <c r="B115" s="34" t="s">
        <v>236</v>
      </c>
      <c r="C115" s="104"/>
      <c r="D115" s="114">
        <f>'RESUM. GASTO SOLICIIT. SUBPART '!AC115</f>
        <v>0</v>
      </c>
    </row>
    <row r="116" spans="1:4" hidden="1" x14ac:dyDescent="0.2">
      <c r="A116" s="33" t="s">
        <v>237</v>
      </c>
      <c r="B116" s="34" t="s">
        <v>19</v>
      </c>
      <c r="C116" s="104"/>
      <c r="D116" s="114">
        <f>'RESUM. GASTO SOLICIIT. SUBPART '!AC116</f>
        <v>0</v>
      </c>
    </row>
    <row r="117" spans="1:4" x14ac:dyDescent="0.2">
      <c r="A117" s="106">
        <v>2.99</v>
      </c>
      <c r="B117" s="288" t="s">
        <v>20</v>
      </c>
      <c r="C117" s="175"/>
      <c r="D117" s="113">
        <f>D118+D119+D120+D121+D122+D123+D124+D125</f>
        <v>19437.3</v>
      </c>
    </row>
    <row r="118" spans="1:4" ht="22.5" x14ac:dyDescent="0.2">
      <c r="A118" s="33" t="s">
        <v>238</v>
      </c>
      <c r="B118" s="34" t="s">
        <v>21</v>
      </c>
      <c r="C118" s="104" t="s">
        <v>416</v>
      </c>
      <c r="D118" s="114">
        <f>'RESUM. GASTO SOLICIIT. SUBPART '!AC118</f>
        <v>2100</v>
      </c>
    </row>
    <row r="119" spans="1:4" ht="22.5" x14ac:dyDescent="0.2">
      <c r="A119" s="33" t="s">
        <v>239</v>
      </c>
      <c r="B119" s="34" t="s">
        <v>22</v>
      </c>
      <c r="C119" s="104" t="s">
        <v>373</v>
      </c>
      <c r="D119" s="114">
        <f>'RESUM. GASTO SOLICIIT. SUBPART '!AC119</f>
        <v>2000</v>
      </c>
    </row>
    <row r="120" spans="1:4" ht="78.75" x14ac:dyDescent="0.2">
      <c r="A120" s="33" t="s">
        <v>240</v>
      </c>
      <c r="B120" s="34" t="s">
        <v>241</v>
      </c>
      <c r="C120" s="104" t="s">
        <v>527</v>
      </c>
      <c r="D120" s="114">
        <f>'RESUM. GASTO SOLICIIT. SUBPART '!AC120</f>
        <v>3352.8</v>
      </c>
    </row>
    <row r="121" spans="1:4" ht="90" x14ac:dyDescent="0.2">
      <c r="A121" s="33" t="s">
        <v>242</v>
      </c>
      <c r="B121" s="34" t="s">
        <v>243</v>
      </c>
      <c r="C121" s="104" t="s">
        <v>548</v>
      </c>
      <c r="D121" s="114">
        <f>'RESUM. GASTO SOLICIIT. SUBPART '!AC121</f>
        <v>4050</v>
      </c>
    </row>
    <row r="122" spans="1:4" ht="33.75" x14ac:dyDescent="0.2">
      <c r="A122" s="33" t="s">
        <v>244</v>
      </c>
      <c r="B122" s="34" t="s">
        <v>23</v>
      </c>
      <c r="C122" s="104" t="s">
        <v>374</v>
      </c>
      <c r="D122" s="114">
        <f>'RESUM. GASTO SOLICIIT. SUBPART '!AC122</f>
        <v>3050</v>
      </c>
    </row>
    <row r="123" spans="1:4" ht="33.75" x14ac:dyDescent="0.2">
      <c r="A123" s="33" t="s">
        <v>245</v>
      </c>
      <c r="B123" s="34" t="s">
        <v>24</v>
      </c>
      <c r="C123" s="104" t="s">
        <v>382</v>
      </c>
      <c r="D123" s="114">
        <f>'RESUM. GASTO SOLICIIT. SUBPART '!AC123</f>
        <v>1850</v>
      </c>
    </row>
    <row r="124" spans="1:4" ht="22.5" x14ac:dyDescent="0.2">
      <c r="A124" s="33" t="s">
        <v>246</v>
      </c>
      <c r="B124" s="34" t="s">
        <v>25</v>
      </c>
      <c r="C124" s="104" t="s">
        <v>417</v>
      </c>
      <c r="D124" s="114">
        <f>'RESUM. GASTO SOLICIIT. SUBPART '!AC124</f>
        <v>862</v>
      </c>
    </row>
    <row r="125" spans="1:4" ht="33.75" x14ac:dyDescent="0.2">
      <c r="A125" s="33" t="s">
        <v>247</v>
      </c>
      <c r="B125" s="34" t="s">
        <v>508</v>
      </c>
      <c r="C125" s="104" t="s">
        <v>420</v>
      </c>
      <c r="D125" s="114">
        <f>'RESUM. GASTO SOLICIIT. SUBPART '!AC125</f>
        <v>2172.5</v>
      </c>
    </row>
    <row r="126" spans="1:4" hidden="1" x14ac:dyDescent="0.2">
      <c r="A126" s="108">
        <v>3</v>
      </c>
      <c r="B126" s="288" t="s">
        <v>248</v>
      </c>
      <c r="C126" s="175"/>
      <c r="D126" s="113">
        <f>D127</f>
        <v>0</v>
      </c>
    </row>
    <row r="127" spans="1:4" hidden="1" x14ac:dyDescent="0.2">
      <c r="A127" s="106">
        <v>3.04</v>
      </c>
      <c r="B127" s="288" t="s">
        <v>249</v>
      </c>
      <c r="C127" s="175"/>
      <c r="D127" s="113">
        <f>D128</f>
        <v>0</v>
      </c>
    </row>
    <row r="128" spans="1:4" hidden="1" x14ac:dyDescent="0.2">
      <c r="A128" s="33" t="s">
        <v>250</v>
      </c>
      <c r="B128" s="34" t="s">
        <v>251</v>
      </c>
      <c r="C128" s="104"/>
      <c r="D128" s="114">
        <f>'RESUM. GASTO SOLICIIT. SUBPART '!AC128</f>
        <v>0</v>
      </c>
    </row>
    <row r="129" spans="1:4" x14ac:dyDescent="0.2">
      <c r="A129" s="108">
        <v>5</v>
      </c>
      <c r="B129" s="288" t="s">
        <v>105</v>
      </c>
      <c r="C129" s="175"/>
      <c r="D129" s="113">
        <f>D130+D139+D144</f>
        <v>228651.89</v>
      </c>
    </row>
    <row r="130" spans="1:4" x14ac:dyDescent="0.2">
      <c r="A130" s="108">
        <v>5.01</v>
      </c>
      <c r="B130" s="288" t="s">
        <v>106</v>
      </c>
      <c r="C130" s="175"/>
      <c r="D130" s="113">
        <f>D131+D132+D133+D134+D135+D136+D137+D138</f>
        <v>117885.19</v>
      </c>
    </row>
    <row r="131" spans="1:4" ht="56.25" x14ac:dyDescent="0.2">
      <c r="A131" s="109" t="s">
        <v>123</v>
      </c>
      <c r="B131" s="34" t="s">
        <v>129</v>
      </c>
      <c r="C131" s="104" t="s">
        <v>519</v>
      </c>
      <c r="D131" s="114">
        <f>'RESUM. GASTO SOLICIIT. SUBPART '!AC131</f>
        <v>4670</v>
      </c>
    </row>
    <row r="132" spans="1:4" hidden="1" x14ac:dyDescent="0.2">
      <c r="A132" s="109" t="s">
        <v>124</v>
      </c>
      <c r="B132" s="34" t="s">
        <v>130</v>
      </c>
      <c r="C132" s="104"/>
      <c r="D132" s="114">
        <f>'RESUM. GASTO SOLICIIT. SUBPART '!AC132</f>
        <v>0</v>
      </c>
    </row>
    <row r="133" spans="1:4" ht="33.75" x14ac:dyDescent="0.2">
      <c r="A133" s="107" t="s">
        <v>85</v>
      </c>
      <c r="B133" s="34" t="s">
        <v>107</v>
      </c>
      <c r="C133" s="104" t="s">
        <v>520</v>
      </c>
      <c r="D133" s="114">
        <f>'RESUM. GASTO SOLICIIT. SUBPART '!AC133</f>
        <v>4295</v>
      </c>
    </row>
    <row r="134" spans="1:4" ht="67.5" x14ac:dyDescent="0.2">
      <c r="A134" s="107" t="s">
        <v>252</v>
      </c>
      <c r="B134" s="34" t="s">
        <v>253</v>
      </c>
      <c r="C134" s="104" t="s">
        <v>549</v>
      </c>
      <c r="D134" s="114">
        <f>'RESUM. GASTO SOLICIIT. SUBPART '!AC134</f>
        <v>11810</v>
      </c>
    </row>
    <row r="135" spans="1:4" ht="78.75" x14ac:dyDescent="0.2">
      <c r="A135" s="109" t="s">
        <v>86</v>
      </c>
      <c r="B135" s="109" t="s">
        <v>509</v>
      </c>
      <c r="C135" s="104" t="s">
        <v>550</v>
      </c>
      <c r="D135" s="114">
        <f>'RESUM. GASTO SOLICIIT. SUBPART '!AC135</f>
        <v>21422</v>
      </c>
    </row>
    <row r="136" spans="1:4" ht="101.25" x14ac:dyDescent="0.2">
      <c r="A136" s="109" t="s">
        <v>115</v>
      </c>
      <c r="B136" s="34" t="s">
        <v>510</v>
      </c>
      <c r="C136" s="104" t="s">
        <v>521</v>
      </c>
      <c r="D136" s="114">
        <f>'RESUM. GASTO SOLICIIT. SUBPART '!AC136</f>
        <v>67415.19</v>
      </c>
    </row>
    <row r="137" spans="1:4" x14ac:dyDescent="0.2">
      <c r="A137" s="107" t="s">
        <v>254</v>
      </c>
      <c r="B137" s="34" t="s">
        <v>511</v>
      </c>
      <c r="C137" s="104" t="s">
        <v>522</v>
      </c>
      <c r="D137" s="114">
        <f>'RESUM. GASTO SOLICIIT. SUBPART '!AC137</f>
        <v>140</v>
      </c>
    </row>
    <row r="138" spans="1:4" ht="45" x14ac:dyDescent="0.2">
      <c r="A138" s="107" t="s">
        <v>255</v>
      </c>
      <c r="B138" s="34" t="s">
        <v>512</v>
      </c>
      <c r="C138" s="104" t="s">
        <v>523</v>
      </c>
      <c r="D138" s="114">
        <f>'RESUM. GASTO SOLICIIT. SUBPART '!AC138</f>
        <v>8133</v>
      </c>
    </row>
    <row r="139" spans="1:4" x14ac:dyDescent="0.2">
      <c r="A139" s="106">
        <v>5.0199999999999996</v>
      </c>
      <c r="B139" s="288" t="s">
        <v>131</v>
      </c>
      <c r="C139" s="175"/>
      <c r="D139" s="113">
        <f>D140+D141+D142+D143</f>
        <v>110000</v>
      </c>
    </row>
    <row r="140" spans="1:4" s="32" customFormat="1" ht="22.5" x14ac:dyDescent="0.2">
      <c r="A140" s="107" t="s">
        <v>32</v>
      </c>
      <c r="B140" s="292" t="s">
        <v>33</v>
      </c>
      <c r="C140" s="238" t="s">
        <v>551</v>
      </c>
      <c r="D140" s="114">
        <f>'RESUM. GASTO SOLICIIT. SUBPART '!AC140</f>
        <v>105000</v>
      </c>
    </row>
    <row r="141" spans="1:4" s="32" customFormat="1" hidden="1" x14ac:dyDescent="0.2">
      <c r="A141" s="107" t="s">
        <v>34</v>
      </c>
      <c r="B141" s="292" t="s">
        <v>35</v>
      </c>
      <c r="C141" s="104"/>
      <c r="D141" s="114">
        <f>'RESUM. GASTO SOLICIIT. SUBPART '!AC141</f>
        <v>0</v>
      </c>
    </row>
    <row r="142" spans="1:4" s="32" customFormat="1" hidden="1" x14ac:dyDescent="0.2">
      <c r="A142" s="107" t="s">
        <v>36</v>
      </c>
      <c r="B142" s="292" t="s">
        <v>37</v>
      </c>
      <c r="C142" s="239"/>
      <c r="D142" s="241">
        <f>'RESUM. GASTO SOLICIIT. SUBPART '!AC142</f>
        <v>0</v>
      </c>
    </row>
    <row r="143" spans="1:4" x14ac:dyDescent="0.2">
      <c r="A143" s="33" t="s">
        <v>125</v>
      </c>
      <c r="B143" s="34" t="s">
        <v>132</v>
      </c>
      <c r="C143" s="104" t="s">
        <v>524</v>
      </c>
      <c r="D143" s="114">
        <f>'RESUM. GASTO SOLICIIT. SUBPART '!AC143</f>
        <v>5000</v>
      </c>
    </row>
    <row r="144" spans="1:4" x14ac:dyDescent="0.2">
      <c r="A144" s="106">
        <v>5.99</v>
      </c>
      <c r="B144" s="288" t="s">
        <v>256</v>
      </c>
      <c r="C144" s="175"/>
      <c r="D144" s="113">
        <f>D145+D146</f>
        <v>766.7</v>
      </c>
    </row>
    <row r="145" spans="1:4" hidden="1" x14ac:dyDescent="0.2">
      <c r="A145" s="33" t="s">
        <v>257</v>
      </c>
      <c r="B145" s="34" t="s">
        <v>258</v>
      </c>
      <c r="C145" s="104"/>
      <c r="D145" s="114">
        <f>'RESUM. GASTO SOLICIIT. SUBPART '!AC145</f>
        <v>0</v>
      </c>
    </row>
    <row r="146" spans="1:4" ht="22.5" x14ac:dyDescent="0.2">
      <c r="A146" s="27" t="s">
        <v>513</v>
      </c>
      <c r="B146" s="109" t="s">
        <v>514</v>
      </c>
      <c r="C146" s="104" t="s">
        <v>529</v>
      </c>
      <c r="D146" s="114">
        <f>'RESUM. GASTO SOLICIIT. SUBPART '!AC146</f>
        <v>766.7</v>
      </c>
    </row>
    <row r="147" spans="1:4" x14ac:dyDescent="0.2">
      <c r="A147" s="106">
        <v>6</v>
      </c>
      <c r="B147" s="288" t="s">
        <v>259</v>
      </c>
      <c r="C147" s="175"/>
      <c r="D147" s="113">
        <f>D148+D151+D153+D156+D159+D162</f>
        <v>22250</v>
      </c>
    </row>
    <row r="148" spans="1:4" x14ac:dyDescent="0.2">
      <c r="A148" s="106" t="s">
        <v>260</v>
      </c>
      <c r="B148" s="288" t="s">
        <v>261</v>
      </c>
      <c r="C148" s="175"/>
      <c r="D148" s="113">
        <f>D149+D150</f>
        <v>16000</v>
      </c>
    </row>
    <row r="149" spans="1:4" s="32" customFormat="1" ht="22.5" x14ac:dyDescent="0.2">
      <c r="A149" s="107" t="s">
        <v>390</v>
      </c>
      <c r="B149" s="123" t="s">
        <v>392</v>
      </c>
      <c r="C149" s="104" t="s">
        <v>418</v>
      </c>
      <c r="D149" s="114">
        <f>'RESUM. GASTO SOLICIIT. SUBPART '!AC149</f>
        <v>16000</v>
      </c>
    </row>
    <row r="150" spans="1:4" hidden="1" x14ac:dyDescent="0.2">
      <c r="A150" s="33" t="s">
        <v>262</v>
      </c>
      <c r="B150" s="34" t="s">
        <v>263</v>
      </c>
      <c r="C150" s="104"/>
      <c r="D150" s="114">
        <f>'RESUM. GASTO SOLICIIT. SUBPART '!AC150</f>
        <v>0</v>
      </c>
    </row>
    <row r="151" spans="1:4" hidden="1" x14ac:dyDescent="0.2">
      <c r="A151" s="106">
        <v>6.02</v>
      </c>
      <c r="B151" s="288" t="s">
        <v>264</v>
      </c>
      <c r="C151" s="175"/>
      <c r="D151" s="113">
        <f>D152</f>
        <v>0</v>
      </c>
    </row>
    <row r="152" spans="1:4" hidden="1" x14ac:dyDescent="0.2">
      <c r="A152" s="33" t="s">
        <v>265</v>
      </c>
      <c r="B152" s="34" t="s">
        <v>266</v>
      </c>
      <c r="C152" s="104"/>
      <c r="D152" s="114">
        <f>'RESUM. GASTO SOLICIIT. SUBPART '!AC152</f>
        <v>0</v>
      </c>
    </row>
    <row r="153" spans="1:4" x14ac:dyDescent="0.2">
      <c r="A153" s="106" t="s">
        <v>267</v>
      </c>
      <c r="B153" s="288" t="s">
        <v>268</v>
      </c>
      <c r="C153" s="175"/>
      <c r="D153" s="113">
        <f>D154+D155</f>
        <v>6250</v>
      </c>
    </row>
    <row r="154" spans="1:4" s="32" customFormat="1" x14ac:dyDescent="0.2">
      <c r="A154" s="107" t="s">
        <v>269</v>
      </c>
      <c r="B154" s="109" t="s">
        <v>270</v>
      </c>
      <c r="C154" s="104" t="s">
        <v>428</v>
      </c>
      <c r="D154" s="114">
        <f>'RESUM. GASTO SOLICIIT. SUBPART '!AC154</f>
        <v>5000</v>
      </c>
    </row>
    <row r="155" spans="1:4" x14ac:dyDescent="0.2">
      <c r="A155" s="33" t="s">
        <v>378</v>
      </c>
      <c r="B155" s="34" t="s">
        <v>377</v>
      </c>
      <c r="C155" s="104" t="s">
        <v>419</v>
      </c>
      <c r="D155" s="114">
        <f>'RESUM. GASTO SOLICIIT. SUBPART '!AC155</f>
        <v>1250</v>
      </c>
    </row>
    <row r="156" spans="1:4" hidden="1" x14ac:dyDescent="0.2">
      <c r="A156" s="106">
        <v>6.04</v>
      </c>
      <c r="B156" s="288" t="s">
        <v>271</v>
      </c>
      <c r="C156" s="175"/>
      <c r="D156" s="113">
        <f>D157+D158</f>
        <v>0</v>
      </c>
    </row>
    <row r="157" spans="1:4" hidden="1" x14ac:dyDescent="0.2">
      <c r="A157" s="33" t="s">
        <v>272</v>
      </c>
      <c r="B157" s="34" t="s">
        <v>41</v>
      </c>
      <c r="C157" s="104"/>
      <c r="D157" s="114">
        <f>'RESUM. GASTO SOLICIIT. SUBPART '!AC157</f>
        <v>0</v>
      </c>
    </row>
    <row r="158" spans="1:4" s="32" customFormat="1" hidden="1" x14ac:dyDescent="0.2">
      <c r="A158" s="107" t="s">
        <v>399</v>
      </c>
      <c r="B158" s="109" t="s">
        <v>400</v>
      </c>
      <c r="C158" s="104"/>
      <c r="D158" s="114">
        <f>'RESUM. GASTO SOLICIIT. SUBPART '!AC158</f>
        <v>0</v>
      </c>
    </row>
    <row r="159" spans="1:4" hidden="1" x14ac:dyDescent="0.2">
      <c r="A159" s="37" t="s">
        <v>273</v>
      </c>
      <c r="B159" s="289" t="s">
        <v>274</v>
      </c>
      <c r="C159" s="175"/>
      <c r="D159" s="113">
        <f>D160+D161</f>
        <v>0</v>
      </c>
    </row>
    <row r="160" spans="1:4" hidden="1" x14ac:dyDescent="0.2">
      <c r="A160" s="33" t="s">
        <v>275</v>
      </c>
      <c r="B160" s="34" t="s">
        <v>276</v>
      </c>
      <c r="C160" s="104"/>
      <c r="D160" s="114">
        <f>'RESUM. GASTO SOLICIIT. SUBPART '!AC160</f>
        <v>0</v>
      </c>
    </row>
    <row r="161" spans="1:4" hidden="1" x14ac:dyDescent="0.2">
      <c r="A161" s="33" t="s">
        <v>361</v>
      </c>
      <c r="B161" s="109" t="s">
        <v>362</v>
      </c>
      <c r="C161" s="104"/>
      <c r="D161" s="114">
        <f>'RESUM. GASTO SOLICIIT. SUBPART '!AC161</f>
        <v>0</v>
      </c>
    </row>
    <row r="162" spans="1:4" hidden="1" x14ac:dyDescent="0.2">
      <c r="A162" s="39" t="s">
        <v>49</v>
      </c>
      <c r="B162" s="289" t="s">
        <v>50</v>
      </c>
      <c r="C162" s="104"/>
      <c r="D162" s="113">
        <f>D163</f>
        <v>0</v>
      </c>
    </row>
    <row r="163" spans="1:4" hidden="1" x14ac:dyDescent="0.2">
      <c r="A163" s="25" t="s">
        <v>51</v>
      </c>
      <c r="B163" s="34" t="s">
        <v>52</v>
      </c>
      <c r="C163" s="104"/>
      <c r="D163" s="114">
        <f>'RESUM. GASTO SOLICIIT. SUBPART '!AC163</f>
        <v>0</v>
      </c>
    </row>
    <row r="164" spans="1:4" hidden="1" x14ac:dyDescent="0.2">
      <c r="A164" s="37">
        <v>7</v>
      </c>
      <c r="B164" s="289" t="s">
        <v>277</v>
      </c>
      <c r="C164" s="175"/>
      <c r="D164" s="113">
        <f>D165</f>
        <v>0</v>
      </c>
    </row>
    <row r="165" spans="1:4" hidden="1" x14ac:dyDescent="0.2">
      <c r="A165" s="37" t="s">
        <v>278</v>
      </c>
      <c r="B165" s="289" t="s">
        <v>279</v>
      </c>
      <c r="C165" s="175"/>
      <c r="D165" s="113">
        <f>D166</f>
        <v>0</v>
      </c>
    </row>
    <row r="166" spans="1:4" hidden="1" x14ac:dyDescent="0.2">
      <c r="A166" s="33" t="s">
        <v>280</v>
      </c>
      <c r="B166" s="35" t="s">
        <v>391</v>
      </c>
      <c r="C166" s="104"/>
      <c r="D166" s="50">
        <f>'RESUM. GASTO SOLICIIT. SUBPART '!AC166</f>
        <v>0</v>
      </c>
    </row>
    <row r="167" spans="1:4" hidden="1" x14ac:dyDescent="0.2">
      <c r="A167" s="106">
        <v>9</v>
      </c>
      <c r="B167" s="288" t="s">
        <v>281</v>
      </c>
      <c r="C167" s="175"/>
      <c r="D167" s="113">
        <f>D168</f>
        <v>0</v>
      </c>
    </row>
    <row r="168" spans="1:4" s="32" customFormat="1" hidden="1" x14ac:dyDescent="0.2">
      <c r="A168" s="108" t="s">
        <v>282</v>
      </c>
      <c r="B168" s="290" t="s">
        <v>38</v>
      </c>
      <c r="C168" s="175"/>
      <c r="D168" s="113">
        <f>D169</f>
        <v>0</v>
      </c>
    </row>
    <row r="169" spans="1:4" hidden="1" x14ac:dyDescent="0.2">
      <c r="A169" s="33" t="s">
        <v>39</v>
      </c>
      <c r="B169" s="291" t="s">
        <v>40</v>
      </c>
      <c r="C169" s="104"/>
      <c r="D169" s="114">
        <f>'RESUM. GASTO SOLICIIT. SUBPART '!AC169</f>
        <v>0</v>
      </c>
    </row>
    <row r="170" spans="1:4" ht="13.5" thickBot="1" x14ac:dyDescent="0.25">
      <c r="A170" s="111"/>
      <c r="B170" s="293"/>
      <c r="C170" s="240"/>
      <c r="D170" s="116"/>
    </row>
    <row r="171" spans="1:4" ht="13.5" thickBot="1" x14ac:dyDescent="0.25">
      <c r="A171" s="30"/>
      <c r="B171" s="294" t="s">
        <v>60</v>
      </c>
      <c r="C171" s="121"/>
      <c r="D171" s="52">
        <f>D10+D34+D91+D126+D129+D147+D164+D167</f>
        <v>1304386.7280000001</v>
      </c>
    </row>
    <row r="176" spans="1:4" x14ac:dyDescent="0.2">
      <c r="A176" s="176"/>
    </row>
    <row r="177" spans="1:1" x14ac:dyDescent="0.2">
      <c r="A177" s="176"/>
    </row>
    <row r="178" spans="1:1" x14ac:dyDescent="0.2">
      <c r="A178" s="1"/>
    </row>
    <row r="179" spans="1:1" x14ac:dyDescent="0.2">
      <c r="A179" s="1"/>
    </row>
    <row r="180" spans="1:1" x14ac:dyDescent="0.2">
      <c r="A180" s="1"/>
    </row>
    <row r="181" spans="1:1" x14ac:dyDescent="0.2">
      <c r="A181" s="1"/>
    </row>
    <row r="182" spans="1:1" x14ac:dyDescent="0.2">
      <c r="A182" s="122"/>
    </row>
    <row r="183" spans="1:1" x14ac:dyDescent="0.2">
      <c r="A183" s="1"/>
    </row>
    <row r="184" spans="1:1" x14ac:dyDescent="0.2">
      <c r="A184" s="1"/>
    </row>
    <row r="185" spans="1:1" x14ac:dyDescent="0.2">
      <c r="A185" s="1"/>
    </row>
    <row r="186" spans="1:1" x14ac:dyDescent="0.2">
      <c r="A186" s="1"/>
    </row>
    <row r="187" spans="1:1" x14ac:dyDescent="0.2">
      <c r="A187" s="1"/>
    </row>
    <row r="191" spans="1:1" x14ac:dyDescent="0.2">
      <c r="A191" s="1"/>
    </row>
    <row r="192" spans="1:1" x14ac:dyDescent="0.2">
      <c r="A192" s="1"/>
    </row>
  </sheetData>
  <protectedRanges>
    <protectedRange sqref="C142" name="JUSTIFICACION_1_2_1"/>
  </protectedRanges>
  <mergeCells count="5">
    <mergeCell ref="A2:D2"/>
    <mergeCell ref="A3:D3"/>
    <mergeCell ref="A5:D5"/>
    <mergeCell ref="A6:D6"/>
    <mergeCell ref="A7:D7"/>
  </mergeCells>
  <phoneticPr fontId="2" type="noConversion"/>
  <pageMargins left="0.26" right="0.31" top="0.55000000000000004" bottom="0.52" header="0" footer="0"/>
  <pageSetup orientation="landscape" horizontalDpi="429496729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2:L40"/>
  <sheetViews>
    <sheetView workbookViewId="0">
      <selection activeCell="D39" sqref="D39"/>
    </sheetView>
  </sheetViews>
  <sheetFormatPr baseColWidth="10" defaultRowHeight="12.75" x14ac:dyDescent="0.2"/>
  <cols>
    <col min="2" max="2" width="22.28515625" customWidth="1"/>
    <col min="3" max="3" width="21.28515625" customWidth="1"/>
    <col min="4" max="4" width="36.5703125" customWidth="1"/>
    <col min="5" max="5" width="18.140625" customWidth="1"/>
  </cols>
  <sheetData>
    <row r="2" spans="1:12" x14ac:dyDescent="0.2">
      <c r="A2" s="333" t="s">
        <v>1</v>
      </c>
      <c r="B2" s="333"/>
      <c r="C2" s="333"/>
      <c r="D2" s="333"/>
      <c r="E2" s="333"/>
      <c r="F2" s="19"/>
      <c r="G2" s="19"/>
      <c r="H2" s="19"/>
      <c r="I2" s="19"/>
      <c r="J2" s="19"/>
      <c r="K2" s="19"/>
      <c r="L2" s="19"/>
    </row>
    <row r="4" spans="1:12" x14ac:dyDescent="0.2">
      <c r="A4" s="333" t="s">
        <v>515</v>
      </c>
      <c r="B4" s="333"/>
      <c r="C4" s="333"/>
      <c r="D4" s="333"/>
      <c r="E4" s="333"/>
      <c r="F4" s="19"/>
      <c r="G4" s="19"/>
      <c r="H4" s="19"/>
      <c r="I4" s="19"/>
      <c r="J4" s="19"/>
      <c r="K4" s="19"/>
      <c r="L4" s="19"/>
    </row>
    <row r="5" spans="1:12" x14ac:dyDescent="0.2">
      <c r="A5" s="333" t="s">
        <v>335</v>
      </c>
      <c r="B5" s="333"/>
      <c r="C5" s="333"/>
      <c r="D5" s="333"/>
      <c r="E5" s="333"/>
      <c r="F5" s="19"/>
      <c r="G5" s="19"/>
      <c r="H5" s="19"/>
      <c r="I5" s="19"/>
      <c r="J5" s="19"/>
      <c r="K5" s="19"/>
      <c r="L5" s="19"/>
    </row>
    <row r="6" spans="1:12" x14ac:dyDescent="0.2">
      <c r="A6" s="333" t="s">
        <v>62</v>
      </c>
      <c r="B6" s="333"/>
      <c r="C6" s="333"/>
      <c r="D6" s="333"/>
      <c r="E6" s="333"/>
      <c r="F6" s="19"/>
      <c r="G6" s="19"/>
      <c r="H6" s="19"/>
      <c r="I6" s="19"/>
      <c r="J6" s="19"/>
      <c r="K6" s="19"/>
      <c r="L6" s="19"/>
    </row>
    <row r="7" spans="1:12" ht="13.5" thickBot="1" x14ac:dyDescent="0.25"/>
    <row r="8" spans="1:12" s="93" customFormat="1" ht="34.5" customHeight="1" x14ac:dyDescent="0.2">
      <c r="A8" s="9" t="s">
        <v>336</v>
      </c>
      <c r="B8" s="10" t="s">
        <v>339</v>
      </c>
      <c r="C8" s="10" t="s">
        <v>337</v>
      </c>
      <c r="D8" s="10" t="s">
        <v>0</v>
      </c>
      <c r="E8" s="11" t="s">
        <v>338</v>
      </c>
      <c r="F8" s="71"/>
      <c r="G8" s="71"/>
      <c r="H8" s="2"/>
      <c r="I8" s="2"/>
      <c r="J8" s="2"/>
      <c r="K8" s="2"/>
    </row>
    <row r="9" spans="1:12" s="93" customFormat="1" x14ac:dyDescent="0.2">
      <c r="A9" s="348">
        <v>1.1000000000000001</v>
      </c>
      <c r="B9" s="351" t="s">
        <v>7</v>
      </c>
      <c r="C9" s="286"/>
      <c r="D9" s="7" t="s">
        <v>367</v>
      </c>
      <c r="E9" s="14">
        <f>'RESUM. GASTO SOLICIIT. SUBPART '!C171</f>
        <v>249240.8</v>
      </c>
      <c r="F9" s="170"/>
      <c r="G9" s="170"/>
      <c r="H9" s="2"/>
      <c r="I9" s="2"/>
      <c r="J9" s="2"/>
      <c r="K9" s="2"/>
    </row>
    <row r="10" spans="1:12" x14ac:dyDescent="0.2">
      <c r="A10" s="349"/>
      <c r="B10" s="352"/>
      <c r="C10" s="95">
        <v>1.1000000000000001</v>
      </c>
      <c r="D10" s="7" t="s">
        <v>492</v>
      </c>
      <c r="E10" s="14">
        <f>'RESUM. GASTO SOLICIIT. SUBPART '!D171</f>
        <v>1850</v>
      </c>
      <c r="F10" s="1"/>
      <c r="G10" s="1"/>
      <c r="H10" s="1"/>
      <c r="I10" s="1"/>
      <c r="J10" s="1"/>
      <c r="K10" s="1"/>
    </row>
    <row r="11" spans="1:12" x14ac:dyDescent="0.2">
      <c r="A11" s="349"/>
      <c r="B11" s="352"/>
      <c r="C11" s="95">
        <v>1.2</v>
      </c>
      <c r="D11" s="97" t="s">
        <v>493</v>
      </c>
      <c r="E11" s="14">
        <f>'RESUM. GASTO SOLICIIT. SUBPART '!E171</f>
        <v>7110</v>
      </c>
      <c r="F11" s="1"/>
      <c r="G11" s="1"/>
      <c r="H11" s="1"/>
      <c r="I11" s="1"/>
      <c r="J11" s="1"/>
      <c r="K11" s="1"/>
    </row>
    <row r="12" spans="1:12" x14ac:dyDescent="0.2">
      <c r="A12" s="349"/>
      <c r="B12" s="352"/>
      <c r="C12" s="95">
        <v>1.3</v>
      </c>
      <c r="D12" s="97" t="s">
        <v>494</v>
      </c>
      <c r="E12" s="14">
        <f>'RESUM. GASTO SOLICIIT. SUBPART '!F171</f>
        <v>5471</v>
      </c>
      <c r="F12" s="1"/>
      <c r="G12" s="1"/>
      <c r="H12" s="1"/>
      <c r="I12" s="1"/>
      <c r="J12" s="1"/>
      <c r="K12" s="1"/>
    </row>
    <row r="13" spans="1:12" x14ac:dyDescent="0.2">
      <c r="A13" s="350"/>
      <c r="B13" s="353"/>
      <c r="C13" s="96">
        <v>1.4</v>
      </c>
      <c r="D13" s="98" t="s">
        <v>495</v>
      </c>
      <c r="E13" s="14">
        <f>'RESUM. GASTO SOLICIIT. SUBPART '!G171</f>
        <v>17710.7</v>
      </c>
      <c r="F13" s="1"/>
      <c r="G13" s="1"/>
      <c r="H13" s="1"/>
      <c r="I13" s="1"/>
      <c r="J13" s="1"/>
      <c r="K13" s="1"/>
    </row>
    <row r="14" spans="1:12" x14ac:dyDescent="0.2">
      <c r="A14" s="346" t="s">
        <v>60</v>
      </c>
      <c r="B14" s="347"/>
      <c r="C14" s="347"/>
      <c r="D14" s="347"/>
      <c r="E14" s="101">
        <f>E9+E10+E11+E12+E13</f>
        <v>281382.5</v>
      </c>
      <c r="F14" s="1"/>
      <c r="G14" s="1"/>
      <c r="H14" s="1"/>
      <c r="I14" s="1"/>
      <c r="J14" s="1"/>
      <c r="K14" s="1"/>
    </row>
    <row r="15" spans="1:12" x14ac:dyDescent="0.2">
      <c r="A15" s="344">
        <v>1.2</v>
      </c>
      <c r="B15" s="345" t="s">
        <v>8</v>
      </c>
      <c r="C15" s="94">
        <v>2.1</v>
      </c>
      <c r="D15" s="173" t="s">
        <v>496</v>
      </c>
      <c r="E15" s="92">
        <f>'RESUM. GASTO SOLICIIT. SUBPART '!I171</f>
        <v>934576.72799999989</v>
      </c>
      <c r="F15" s="1"/>
      <c r="G15" s="1"/>
      <c r="H15" s="1"/>
      <c r="I15" s="1"/>
      <c r="J15" s="1"/>
      <c r="K15" s="1"/>
    </row>
    <row r="16" spans="1:12" x14ac:dyDescent="0.2">
      <c r="A16" s="344"/>
      <c r="B16" s="345"/>
      <c r="C16" s="96">
        <v>2.2000000000000002</v>
      </c>
      <c r="D16" s="8" t="s">
        <v>497</v>
      </c>
      <c r="E16" s="14">
        <f>'RESUM. GASTO SOLICIIT. SUBPART '!T171</f>
        <v>88427.5</v>
      </c>
      <c r="F16" s="1"/>
      <c r="G16" s="1"/>
      <c r="H16" s="1"/>
      <c r="I16" s="1"/>
      <c r="J16" s="1"/>
      <c r="K16" s="1"/>
    </row>
    <row r="17" spans="1:11" ht="13.5" thickBot="1" x14ac:dyDescent="0.25">
      <c r="A17" s="339" t="s">
        <v>60</v>
      </c>
      <c r="B17" s="340"/>
      <c r="C17" s="340"/>
      <c r="D17" s="340"/>
      <c r="E17" s="18">
        <f>E15+E16</f>
        <v>1023004.2279999999</v>
      </c>
      <c r="F17" s="1"/>
      <c r="G17" s="1"/>
      <c r="H17" s="1"/>
      <c r="I17" s="1"/>
      <c r="J17" s="1"/>
      <c r="K17" s="1"/>
    </row>
    <row r="18" spans="1:11" ht="13.5" thickBot="1" x14ac:dyDescent="0.25">
      <c r="A18" s="1"/>
      <c r="B18" s="1"/>
      <c r="C18" s="1"/>
      <c r="D18" s="1"/>
      <c r="E18" s="3"/>
      <c r="F18" s="1"/>
      <c r="G18" s="1"/>
      <c r="H18" s="1"/>
      <c r="I18" s="1"/>
      <c r="J18" s="1"/>
      <c r="K18" s="1"/>
    </row>
    <row r="19" spans="1:11" ht="13.5" thickBot="1" x14ac:dyDescent="0.25">
      <c r="A19" s="341" t="s">
        <v>60</v>
      </c>
      <c r="B19" s="342"/>
      <c r="C19" s="342"/>
      <c r="D19" s="343"/>
      <c r="E19" s="99">
        <f>E14+E17</f>
        <v>1304386.7279999999</v>
      </c>
      <c r="F19" s="1"/>
      <c r="G19" s="1"/>
      <c r="H19" s="1"/>
      <c r="I19" s="1"/>
      <c r="J19" s="1"/>
      <c r="K19" s="1"/>
    </row>
    <row r="20" spans="1:11" x14ac:dyDescent="0.2">
      <c r="A20" s="1"/>
      <c r="B20" s="1"/>
      <c r="C20" s="1"/>
      <c r="D20" s="1"/>
      <c r="E20" s="1"/>
      <c r="F20" s="1"/>
      <c r="G20" s="1"/>
      <c r="H20" s="1"/>
      <c r="I20" s="1"/>
      <c r="J20" s="1"/>
      <c r="K20" s="1"/>
    </row>
    <row r="21" spans="1:11" x14ac:dyDescent="0.2">
      <c r="A21" s="1"/>
      <c r="B21" s="1"/>
      <c r="C21" s="1"/>
      <c r="D21" s="1"/>
      <c r="E21" s="3"/>
      <c r="F21" s="1"/>
      <c r="G21" s="1"/>
      <c r="H21" s="1"/>
      <c r="I21" s="1"/>
      <c r="J21" s="1"/>
      <c r="K21" s="1"/>
    </row>
    <row r="22" spans="1:11" x14ac:dyDescent="0.2">
      <c r="A22" s="1"/>
      <c r="B22" s="1"/>
      <c r="C22" s="1"/>
      <c r="D22" s="1"/>
      <c r="E22" s="3"/>
      <c r="F22" s="1"/>
      <c r="G22" s="1"/>
      <c r="H22" s="1"/>
      <c r="I22" s="1"/>
      <c r="J22" s="1"/>
      <c r="K22" s="1"/>
    </row>
    <row r="23" spans="1:11" x14ac:dyDescent="0.2">
      <c r="A23" s="1"/>
      <c r="B23" s="1"/>
      <c r="C23" s="1"/>
      <c r="D23" s="1"/>
      <c r="E23" s="1"/>
      <c r="F23" s="1"/>
      <c r="G23" s="1"/>
      <c r="H23" s="1"/>
      <c r="I23" s="1"/>
      <c r="J23" s="1"/>
      <c r="K23" s="1"/>
    </row>
    <row r="24" spans="1:11" x14ac:dyDescent="0.2">
      <c r="A24" s="176"/>
      <c r="B24" s="1"/>
      <c r="C24" s="1"/>
      <c r="D24" s="1"/>
      <c r="E24" s="1"/>
      <c r="F24" s="1"/>
      <c r="G24" s="1"/>
      <c r="H24" s="1"/>
      <c r="I24" s="1"/>
      <c r="J24" s="1"/>
      <c r="K24" s="1"/>
    </row>
    <row r="25" spans="1:11" x14ac:dyDescent="0.2">
      <c r="A25" s="176"/>
      <c r="B25" s="1"/>
      <c r="C25" s="1"/>
      <c r="D25" s="1"/>
      <c r="E25" s="1"/>
      <c r="F25" s="1"/>
      <c r="G25" s="1"/>
      <c r="H25" s="1"/>
      <c r="I25" s="1"/>
      <c r="J25" s="1"/>
      <c r="K25" s="1"/>
    </row>
    <row r="26" spans="1:11" x14ac:dyDescent="0.2">
      <c r="A26" s="1"/>
      <c r="B26" s="1"/>
      <c r="C26" s="1"/>
      <c r="D26" s="1"/>
      <c r="E26" s="1"/>
      <c r="F26" s="1"/>
      <c r="G26" s="1"/>
      <c r="H26" s="1"/>
      <c r="I26" s="1"/>
      <c r="J26" s="1"/>
      <c r="K26" s="1"/>
    </row>
    <row r="27" spans="1:11" x14ac:dyDescent="0.2">
      <c r="A27" s="1"/>
      <c r="B27" s="1"/>
      <c r="C27" s="1"/>
      <c r="D27" s="1"/>
      <c r="E27" s="1"/>
      <c r="F27" s="1"/>
      <c r="G27" s="1"/>
      <c r="H27" s="1"/>
      <c r="I27" s="1"/>
      <c r="J27" s="1"/>
      <c r="K27" s="1"/>
    </row>
    <row r="28" spans="1:11" x14ac:dyDescent="0.2">
      <c r="A28" s="1"/>
    </row>
    <row r="29" spans="1:11" x14ac:dyDescent="0.2">
      <c r="A29" s="1"/>
    </row>
    <row r="30" spans="1:11" x14ac:dyDescent="0.2">
      <c r="A30" s="122"/>
    </row>
    <row r="31" spans="1:11" x14ac:dyDescent="0.2">
      <c r="A31" s="1"/>
    </row>
    <row r="32" spans="1:11" x14ac:dyDescent="0.2">
      <c r="A32" s="1"/>
    </row>
    <row r="33" spans="1:1" x14ac:dyDescent="0.2">
      <c r="A33" s="1"/>
    </row>
    <row r="34" spans="1:1" x14ac:dyDescent="0.2">
      <c r="A34" s="1"/>
    </row>
    <row r="35" spans="1:1" x14ac:dyDescent="0.2">
      <c r="A35" s="1"/>
    </row>
    <row r="39" spans="1:1" x14ac:dyDescent="0.2">
      <c r="A39" s="1"/>
    </row>
    <row r="40" spans="1:1" x14ac:dyDescent="0.2">
      <c r="A40" s="1"/>
    </row>
  </sheetData>
  <mergeCells count="11">
    <mergeCell ref="A2:E2"/>
    <mergeCell ref="A4:E4"/>
    <mergeCell ref="A5:E5"/>
    <mergeCell ref="A17:D17"/>
    <mergeCell ref="A19:D19"/>
    <mergeCell ref="A6:E6"/>
    <mergeCell ref="A15:A16"/>
    <mergeCell ref="B15:B16"/>
    <mergeCell ref="A14:D14"/>
    <mergeCell ref="A9:A13"/>
    <mergeCell ref="B9:B13"/>
  </mergeCells>
  <phoneticPr fontId="2" type="noConversion"/>
  <printOptions horizontalCentered="1"/>
  <pageMargins left="0.78740157480314965" right="0.78740157480314965" top="0.62992125984251968" bottom="0.98425196850393704" header="0" footer="0"/>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2:AD58"/>
  <sheetViews>
    <sheetView workbookViewId="0">
      <pane xSplit="5" ySplit="10" topLeftCell="K11" activePane="bottomRight" state="frozen"/>
      <selection pane="topRight" activeCell="F1" sqref="F1"/>
      <selection pane="bottomLeft" activeCell="A11" sqref="A11"/>
      <selection pane="bottomRight" activeCell="H67" sqref="H67"/>
    </sheetView>
  </sheetViews>
  <sheetFormatPr baseColWidth="10" defaultRowHeight="12.75" x14ac:dyDescent="0.2"/>
  <cols>
    <col min="1" max="1" width="16.28515625" customWidth="1"/>
    <col min="2" max="2" width="37.42578125" customWidth="1"/>
    <col min="3" max="3" width="11.28515625" customWidth="1"/>
    <col min="4" max="4" width="10.7109375" bestFit="1" customWidth="1"/>
    <col min="5" max="5" width="10.140625" bestFit="1" customWidth="1"/>
    <col min="6" max="7" width="10.140625" customWidth="1"/>
    <col min="8" max="10" width="11.42578125" customWidth="1"/>
    <col min="11" max="13" width="12" customWidth="1"/>
    <col min="14" max="16" width="12.28515625" customWidth="1"/>
    <col min="17" max="19" width="11.42578125" customWidth="1"/>
    <col min="20" max="28" width="11.140625" customWidth="1"/>
    <col min="29" max="29" width="11.28515625" customWidth="1"/>
  </cols>
  <sheetData>
    <row r="2" spans="1:30" x14ac:dyDescent="0.2">
      <c r="A2" s="333" t="s">
        <v>1</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row>
    <row r="4" spans="1:30" x14ac:dyDescent="0.2">
      <c r="A4" s="333" t="s">
        <v>515</v>
      </c>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row>
    <row r="5" spans="1:30" x14ac:dyDescent="0.2">
      <c r="A5" s="333" t="s">
        <v>386</v>
      </c>
      <c r="B5" s="333"/>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row>
    <row r="6" spans="1:30" x14ac:dyDescent="0.2">
      <c r="A6" s="333" t="s">
        <v>62</v>
      </c>
      <c r="B6" s="333"/>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row>
    <row r="7" spans="1:30" ht="13.5" thickBot="1" x14ac:dyDescent="0.25">
      <c r="A7" s="178"/>
      <c r="B7" s="178"/>
      <c r="C7" s="178"/>
      <c r="D7" s="178"/>
      <c r="E7" s="178"/>
      <c r="F7" s="178"/>
      <c r="G7" s="178"/>
    </row>
    <row r="8" spans="1:30" ht="17.25" customHeight="1" thickBot="1" x14ac:dyDescent="0.25">
      <c r="A8" s="354" t="s">
        <v>56</v>
      </c>
      <c r="B8" s="355"/>
      <c r="C8" s="355"/>
      <c r="D8" s="355"/>
      <c r="E8" s="356"/>
      <c r="F8" s="355" t="s">
        <v>328</v>
      </c>
      <c r="G8" s="355"/>
      <c r="H8" s="355"/>
      <c r="I8" s="355"/>
      <c r="J8" s="355"/>
      <c r="K8" s="355"/>
      <c r="L8" s="355"/>
      <c r="M8" s="355"/>
      <c r="N8" s="355"/>
      <c r="O8" s="355"/>
      <c r="P8" s="355"/>
      <c r="Q8" s="355"/>
      <c r="R8" s="355"/>
      <c r="S8" s="355"/>
      <c r="T8" s="355"/>
      <c r="U8" s="355"/>
      <c r="V8" s="355"/>
      <c r="W8" s="355"/>
      <c r="X8" s="355"/>
      <c r="Y8" s="355"/>
      <c r="Z8" s="355"/>
      <c r="AA8" s="355"/>
      <c r="AB8" s="355"/>
      <c r="AC8" s="356"/>
      <c r="AD8" s="357" t="s">
        <v>60</v>
      </c>
    </row>
    <row r="9" spans="1:30" x14ac:dyDescent="0.2">
      <c r="A9" s="365" t="s">
        <v>327</v>
      </c>
      <c r="B9" s="369" t="s">
        <v>0</v>
      </c>
      <c r="C9" s="369" t="s">
        <v>329</v>
      </c>
      <c r="D9" s="371" t="s">
        <v>330</v>
      </c>
      <c r="E9" s="372" t="s">
        <v>331</v>
      </c>
      <c r="F9" s="359" t="s">
        <v>63</v>
      </c>
      <c r="G9" s="360"/>
      <c r="H9" s="361"/>
      <c r="I9" s="359" t="s">
        <v>64</v>
      </c>
      <c r="J9" s="360"/>
      <c r="K9" s="361"/>
      <c r="L9" s="362" t="s">
        <v>65</v>
      </c>
      <c r="M9" s="363"/>
      <c r="N9" s="364"/>
      <c r="O9" s="359" t="s">
        <v>332</v>
      </c>
      <c r="P9" s="360"/>
      <c r="Q9" s="361"/>
      <c r="R9" s="359" t="s">
        <v>66</v>
      </c>
      <c r="S9" s="360"/>
      <c r="T9" s="361"/>
      <c r="U9" s="362" t="s">
        <v>321</v>
      </c>
      <c r="V9" s="363"/>
      <c r="W9" s="364"/>
      <c r="X9" s="362" t="s">
        <v>277</v>
      </c>
      <c r="Y9" s="363"/>
      <c r="Z9" s="364"/>
      <c r="AA9" s="362" t="s">
        <v>48</v>
      </c>
      <c r="AB9" s="363"/>
      <c r="AC9" s="364"/>
      <c r="AD9" s="358"/>
    </row>
    <row r="10" spans="1:30" ht="45" x14ac:dyDescent="0.2">
      <c r="A10" s="366"/>
      <c r="B10" s="370"/>
      <c r="C10" s="370"/>
      <c r="D10" s="369"/>
      <c r="E10" s="373"/>
      <c r="F10" s="177" t="s">
        <v>60</v>
      </c>
      <c r="G10" s="61" t="s">
        <v>385</v>
      </c>
      <c r="H10" s="179" t="s">
        <v>340</v>
      </c>
      <c r="I10" s="177" t="s">
        <v>60</v>
      </c>
      <c r="J10" s="61" t="s">
        <v>385</v>
      </c>
      <c r="K10" s="179" t="s">
        <v>340</v>
      </c>
      <c r="L10" s="177" t="s">
        <v>60</v>
      </c>
      <c r="M10" s="61" t="s">
        <v>385</v>
      </c>
      <c r="N10" s="179" t="s">
        <v>340</v>
      </c>
      <c r="O10" s="177" t="s">
        <v>60</v>
      </c>
      <c r="P10" s="61" t="s">
        <v>385</v>
      </c>
      <c r="Q10" s="179" t="s">
        <v>340</v>
      </c>
      <c r="R10" s="177" t="s">
        <v>60</v>
      </c>
      <c r="S10" s="61" t="s">
        <v>385</v>
      </c>
      <c r="T10" s="179" t="s">
        <v>340</v>
      </c>
      <c r="U10" s="177" t="s">
        <v>60</v>
      </c>
      <c r="V10" s="61" t="s">
        <v>385</v>
      </c>
      <c r="W10" s="179" t="s">
        <v>340</v>
      </c>
      <c r="X10" s="177" t="s">
        <v>60</v>
      </c>
      <c r="Y10" s="61" t="s">
        <v>385</v>
      </c>
      <c r="Z10" s="179" t="s">
        <v>340</v>
      </c>
      <c r="AA10" s="177" t="s">
        <v>60</v>
      </c>
      <c r="AB10" s="61" t="s">
        <v>385</v>
      </c>
      <c r="AC10" s="179" t="s">
        <v>340</v>
      </c>
      <c r="AD10" s="208"/>
    </row>
    <row r="11" spans="1:30" x14ac:dyDescent="0.2">
      <c r="A11" s="66" t="s">
        <v>285</v>
      </c>
      <c r="B11" s="65" t="s">
        <v>286</v>
      </c>
      <c r="C11" s="148">
        <f>D13+D17+D33</f>
        <v>751096</v>
      </c>
      <c r="D11" s="131"/>
      <c r="E11" s="192"/>
      <c r="F11" s="193"/>
      <c r="G11" s="183"/>
      <c r="H11" s="194"/>
      <c r="I11" s="203"/>
      <c r="J11" s="132"/>
      <c r="K11" s="135"/>
      <c r="L11" s="203"/>
      <c r="M11" s="133"/>
      <c r="N11" s="135"/>
      <c r="O11" s="203"/>
      <c r="P11" s="133"/>
      <c r="Q11" s="135"/>
      <c r="R11" s="203"/>
      <c r="S11" s="133"/>
      <c r="T11" s="135"/>
      <c r="U11" s="205"/>
      <c r="V11" s="134"/>
      <c r="W11" s="135"/>
      <c r="X11" s="205"/>
      <c r="Y11" s="134"/>
      <c r="Z11" s="135"/>
      <c r="AA11" s="205"/>
      <c r="AB11" s="134"/>
      <c r="AC11" s="135"/>
      <c r="AD11" s="209"/>
    </row>
    <row r="12" spans="1:30" x14ac:dyDescent="0.2">
      <c r="A12" s="62"/>
      <c r="B12" s="181"/>
      <c r="C12" s="82"/>
      <c r="D12" s="181"/>
      <c r="E12" s="82"/>
      <c r="F12" s="180"/>
      <c r="G12" s="182"/>
      <c r="H12" s="195"/>
      <c r="I12" s="204"/>
      <c r="J12" s="136"/>
      <c r="K12" s="139"/>
      <c r="L12" s="204"/>
      <c r="M12" s="137"/>
      <c r="N12" s="139"/>
      <c r="O12" s="204"/>
      <c r="P12" s="137"/>
      <c r="Q12" s="139"/>
      <c r="R12" s="204"/>
      <c r="S12" s="137"/>
      <c r="T12" s="139"/>
      <c r="U12" s="206"/>
      <c r="V12" s="138"/>
      <c r="W12" s="139"/>
      <c r="X12" s="206"/>
      <c r="Y12" s="138"/>
      <c r="Z12" s="139"/>
      <c r="AA12" s="206"/>
      <c r="AB12" s="138"/>
      <c r="AC12" s="139"/>
      <c r="AD12" s="210"/>
    </row>
    <row r="13" spans="1:30" x14ac:dyDescent="0.2">
      <c r="A13" s="68" t="s">
        <v>317</v>
      </c>
      <c r="B13" s="56" t="s">
        <v>287</v>
      </c>
      <c r="C13" s="149"/>
      <c r="D13" s="149">
        <f>E16</f>
        <v>0</v>
      </c>
      <c r="E13" s="149"/>
      <c r="F13" s="196"/>
      <c r="G13" s="184"/>
      <c r="H13" s="127"/>
      <c r="I13" s="198"/>
      <c r="J13" s="141"/>
      <c r="K13" s="129"/>
      <c r="L13" s="198"/>
      <c r="M13" s="142"/>
      <c r="N13" s="129"/>
      <c r="O13" s="198"/>
      <c r="P13" s="142"/>
      <c r="Q13" s="129"/>
      <c r="R13" s="198"/>
      <c r="S13" s="142"/>
      <c r="T13" s="129"/>
      <c r="U13" s="207"/>
      <c r="V13" s="143"/>
      <c r="W13" s="129"/>
      <c r="X13" s="207"/>
      <c r="Y13" s="143"/>
      <c r="Z13" s="129"/>
      <c r="AA13" s="207"/>
      <c r="AB13" s="143"/>
      <c r="AC13" s="129"/>
      <c r="AD13" s="211"/>
    </row>
    <row r="14" spans="1:30" ht="22.5" x14ac:dyDescent="0.2">
      <c r="A14" s="75" t="s">
        <v>318</v>
      </c>
      <c r="B14" s="74" t="s">
        <v>319</v>
      </c>
      <c r="C14" s="148"/>
      <c r="D14" s="144"/>
      <c r="E14" s="148"/>
      <c r="F14" s="197"/>
      <c r="G14" s="185"/>
      <c r="H14" s="127"/>
      <c r="I14" s="198"/>
      <c r="J14" s="141"/>
      <c r="K14" s="129"/>
      <c r="L14" s="198"/>
      <c r="M14" s="142"/>
      <c r="N14" s="129"/>
      <c r="O14" s="198"/>
      <c r="P14" s="142"/>
      <c r="Q14" s="129"/>
      <c r="R14" s="198"/>
      <c r="S14" s="142"/>
      <c r="T14" s="129"/>
      <c r="U14" s="207"/>
      <c r="V14" s="143"/>
      <c r="W14" s="129"/>
      <c r="X14" s="207"/>
      <c r="Y14" s="143"/>
      <c r="Z14" s="129"/>
      <c r="AA14" s="207"/>
      <c r="AB14" s="143"/>
      <c r="AC14" s="129"/>
      <c r="AD14" s="211"/>
    </row>
    <row r="15" spans="1:30" x14ac:dyDescent="0.2">
      <c r="A15" s="12" t="s">
        <v>288</v>
      </c>
      <c r="B15" s="6" t="s">
        <v>320</v>
      </c>
      <c r="C15" s="148"/>
      <c r="D15" s="144"/>
      <c r="E15" s="148"/>
      <c r="F15" s="197"/>
      <c r="G15" s="185"/>
      <c r="H15" s="127"/>
      <c r="I15" s="198"/>
      <c r="J15" s="141"/>
      <c r="K15" s="129"/>
      <c r="L15" s="198"/>
      <c r="M15" s="142"/>
      <c r="N15" s="129"/>
      <c r="O15" s="198"/>
      <c r="P15" s="142"/>
      <c r="Q15" s="129"/>
      <c r="R15" s="198"/>
      <c r="S15" s="142"/>
      <c r="T15" s="129"/>
      <c r="U15" s="207"/>
      <c r="V15" s="143"/>
      <c r="W15" s="129"/>
      <c r="X15" s="207"/>
      <c r="Y15" s="143"/>
      <c r="Z15" s="129"/>
      <c r="AA15" s="207"/>
      <c r="AB15" s="143"/>
      <c r="AC15" s="129"/>
      <c r="AD15" s="211"/>
    </row>
    <row r="16" spans="1:30" x14ac:dyDescent="0.2">
      <c r="A16" s="53" t="s">
        <v>289</v>
      </c>
      <c r="B16" s="7" t="s">
        <v>322</v>
      </c>
      <c r="C16" s="143"/>
      <c r="D16" s="142"/>
      <c r="E16" s="221">
        <f>INGRESOS!C14</f>
        <v>0</v>
      </c>
      <c r="F16" s="215">
        <f>G16+H16</f>
        <v>0</v>
      </c>
      <c r="G16" s="141"/>
      <c r="H16" s="127"/>
      <c r="I16" s="215">
        <f>J16+K16</f>
        <v>0</v>
      </c>
      <c r="J16" s="141"/>
      <c r="K16" s="129"/>
      <c r="L16" s="215">
        <f>M16+N16</f>
        <v>0</v>
      </c>
      <c r="M16" s="142"/>
      <c r="N16" s="129"/>
      <c r="O16" s="215">
        <f>P16+Q16</f>
        <v>0</v>
      </c>
      <c r="P16" s="142"/>
      <c r="Q16" s="129"/>
      <c r="R16" s="215">
        <f>S16+T16</f>
        <v>0</v>
      </c>
      <c r="S16" s="142"/>
      <c r="T16" s="129"/>
      <c r="U16" s="215">
        <f>V16+W16</f>
        <v>0</v>
      </c>
      <c r="V16" s="143"/>
      <c r="W16" s="129"/>
      <c r="X16" s="215">
        <f>Y16+Z16</f>
        <v>0</v>
      </c>
      <c r="Y16" s="143"/>
      <c r="Z16" s="129"/>
      <c r="AA16" s="215">
        <f>AB16+AC16</f>
        <v>0</v>
      </c>
      <c r="AB16" s="143"/>
      <c r="AC16" s="129"/>
      <c r="AD16" s="223">
        <f>F16+I16+L16+O16+R16+U16+X16+AA16</f>
        <v>0</v>
      </c>
    </row>
    <row r="17" spans="1:30" x14ac:dyDescent="0.2">
      <c r="A17" s="68" t="s">
        <v>290</v>
      </c>
      <c r="B17" s="56" t="s">
        <v>291</v>
      </c>
      <c r="C17" s="149"/>
      <c r="D17" s="140">
        <f>E20+E23+E25+E26+E27+E31+E32</f>
        <v>359096</v>
      </c>
      <c r="E17" s="149"/>
      <c r="F17" s="196"/>
      <c r="G17" s="184"/>
      <c r="H17" s="127"/>
      <c r="I17" s="216"/>
      <c r="J17" s="141"/>
      <c r="K17" s="129"/>
      <c r="L17" s="196"/>
      <c r="M17" s="142"/>
      <c r="N17" s="129"/>
      <c r="O17" s="196"/>
      <c r="P17" s="142"/>
      <c r="Q17" s="129"/>
      <c r="R17" s="196"/>
      <c r="S17" s="142"/>
      <c r="T17" s="129"/>
      <c r="U17" s="196"/>
      <c r="V17" s="143"/>
      <c r="W17" s="129"/>
      <c r="X17" s="196"/>
      <c r="Y17" s="143"/>
      <c r="Z17" s="129"/>
      <c r="AA17" s="196"/>
      <c r="AB17" s="143"/>
      <c r="AC17" s="129"/>
      <c r="AD17" s="211"/>
    </row>
    <row r="18" spans="1:30" x14ac:dyDescent="0.2">
      <c r="A18" s="12" t="s">
        <v>292</v>
      </c>
      <c r="B18" s="6" t="s">
        <v>293</v>
      </c>
      <c r="C18" s="148"/>
      <c r="D18" s="144"/>
      <c r="E18" s="148"/>
      <c r="F18" s="197"/>
      <c r="G18" s="185"/>
      <c r="H18" s="127"/>
      <c r="I18" s="217"/>
      <c r="J18" s="141"/>
      <c r="K18" s="129"/>
      <c r="L18" s="197"/>
      <c r="M18" s="142"/>
      <c r="N18" s="129"/>
      <c r="O18" s="197"/>
      <c r="P18" s="142"/>
      <c r="Q18" s="129"/>
      <c r="R18" s="197"/>
      <c r="S18" s="142"/>
      <c r="T18" s="129"/>
      <c r="U18" s="197"/>
      <c r="V18" s="143"/>
      <c r="W18" s="129"/>
      <c r="X18" s="197"/>
      <c r="Y18" s="143"/>
      <c r="Z18" s="129"/>
      <c r="AA18" s="197"/>
      <c r="AB18" s="143"/>
      <c r="AC18" s="129"/>
      <c r="AD18" s="211"/>
    </row>
    <row r="19" spans="1:30" x14ac:dyDescent="0.2">
      <c r="A19" s="12" t="s">
        <v>294</v>
      </c>
      <c r="B19" s="6" t="s">
        <v>295</v>
      </c>
      <c r="C19" s="148"/>
      <c r="D19" s="144"/>
      <c r="E19" s="148"/>
      <c r="F19" s="197"/>
      <c r="G19" s="185"/>
      <c r="H19" s="127"/>
      <c r="I19" s="217"/>
      <c r="J19" s="141"/>
      <c r="K19" s="129"/>
      <c r="L19" s="197"/>
      <c r="M19" s="142"/>
      <c r="N19" s="129"/>
      <c r="O19" s="197"/>
      <c r="P19" s="142"/>
      <c r="Q19" s="129"/>
      <c r="R19" s="197"/>
      <c r="S19" s="142"/>
      <c r="T19" s="129"/>
      <c r="U19" s="197"/>
      <c r="V19" s="143"/>
      <c r="W19" s="129"/>
      <c r="X19" s="197"/>
      <c r="Y19" s="143"/>
      <c r="Z19" s="129"/>
      <c r="AA19" s="197"/>
      <c r="AB19" s="143"/>
      <c r="AC19" s="129"/>
      <c r="AD19" s="211"/>
    </row>
    <row r="20" spans="1:30" s="32" customFormat="1" x14ac:dyDescent="0.2">
      <c r="A20" s="230" t="s">
        <v>296</v>
      </c>
      <c r="B20" s="128" t="s">
        <v>297</v>
      </c>
      <c r="C20" s="151"/>
      <c r="D20" s="146"/>
      <c r="E20" s="222">
        <f>INGRESOS!C18</f>
        <v>249550</v>
      </c>
      <c r="F20" s="219">
        <f>G20+H20</f>
        <v>0</v>
      </c>
      <c r="G20" s="187"/>
      <c r="H20" s="228"/>
      <c r="I20" s="219">
        <f>J20+K20</f>
        <v>249550</v>
      </c>
      <c r="J20" s="187">
        <v>35831</v>
      </c>
      <c r="K20" s="154">
        <f>E20-J20</f>
        <v>213719</v>
      </c>
      <c r="L20" s="219">
        <f>M20+N20</f>
        <v>0</v>
      </c>
      <c r="M20" s="146"/>
      <c r="N20" s="154"/>
      <c r="O20" s="219">
        <f>P20+Q20</f>
        <v>0</v>
      </c>
      <c r="P20" s="146"/>
      <c r="Q20" s="154"/>
      <c r="R20" s="219">
        <f>S20+T20</f>
        <v>0</v>
      </c>
      <c r="S20" s="146"/>
      <c r="T20" s="154"/>
      <c r="U20" s="219">
        <f>V20+W20</f>
        <v>0</v>
      </c>
      <c r="V20" s="151"/>
      <c r="W20" s="154"/>
      <c r="X20" s="219">
        <f>Y20+Z20</f>
        <v>0</v>
      </c>
      <c r="Y20" s="151"/>
      <c r="Z20" s="154"/>
      <c r="AA20" s="219">
        <f>AB20+AC20</f>
        <v>0</v>
      </c>
      <c r="AB20" s="151"/>
      <c r="AC20" s="154"/>
      <c r="AD20" s="231">
        <f>F20+I20+L20+O20+R20+U20+X20+AA20</f>
        <v>249550</v>
      </c>
    </row>
    <row r="21" spans="1:30" x14ac:dyDescent="0.2">
      <c r="A21" s="12" t="s">
        <v>298</v>
      </c>
      <c r="B21" s="70" t="s">
        <v>299</v>
      </c>
      <c r="C21" s="150"/>
      <c r="D21" s="145"/>
      <c r="E21" s="150"/>
      <c r="F21" s="199"/>
      <c r="G21" s="186"/>
      <c r="H21" s="127"/>
      <c r="I21" s="218"/>
      <c r="J21" s="141"/>
      <c r="K21" s="129"/>
      <c r="L21" s="199"/>
      <c r="M21" s="142"/>
      <c r="N21" s="129"/>
      <c r="O21" s="199"/>
      <c r="P21" s="142"/>
      <c r="Q21" s="129"/>
      <c r="R21" s="199"/>
      <c r="S21" s="142"/>
      <c r="T21" s="129"/>
      <c r="U21" s="199"/>
      <c r="V21" s="143"/>
      <c r="W21" s="129"/>
      <c r="X21" s="199"/>
      <c r="Y21" s="143"/>
      <c r="Z21" s="129"/>
      <c r="AA21" s="199"/>
      <c r="AB21" s="143"/>
      <c r="AC21" s="129"/>
      <c r="AD21" s="211"/>
    </row>
    <row r="22" spans="1:30" x14ac:dyDescent="0.2">
      <c r="A22" s="12" t="s">
        <v>300</v>
      </c>
      <c r="B22" s="70" t="s">
        <v>301</v>
      </c>
      <c r="C22" s="150"/>
      <c r="D22" s="145"/>
      <c r="E22" s="150"/>
      <c r="F22" s="199"/>
      <c r="G22" s="186"/>
      <c r="H22" s="127"/>
      <c r="I22" s="218"/>
      <c r="J22" s="141"/>
      <c r="K22" s="129"/>
      <c r="L22" s="199"/>
      <c r="M22" s="142"/>
      <c r="N22" s="129"/>
      <c r="O22" s="199"/>
      <c r="P22" s="142"/>
      <c r="Q22" s="129"/>
      <c r="R22" s="199"/>
      <c r="S22" s="142"/>
      <c r="T22" s="129"/>
      <c r="U22" s="199"/>
      <c r="V22" s="143"/>
      <c r="W22" s="129"/>
      <c r="X22" s="199"/>
      <c r="Y22" s="143"/>
      <c r="Z22" s="129"/>
      <c r="AA22" s="199"/>
      <c r="AB22" s="143"/>
      <c r="AC22" s="129"/>
      <c r="AD22" s="211"/>
    </row>
    <row r="23" spans="1:30" x14ac:dyDescent="0.2">
      <c r="A23" s="67" t="s">
        <v>302</v>
      </c>
      <c r="B23" s="7" t="s">
        <v>2</v>
      </c>
      <c r="C23" s="151"/>
      <c r="D23" s="146"/>
      <c r="E23" s="222">
        <f>INGRESOS!C21</f>
        <v>0</v>
      </c>
      <c r="F23" s="215">
        <f>G23+H23</f>
        <v>0</v>
      </c>
      <c r="G23" s="187"/>
      <c r="H23" s="127"/>
      <c r="I23" s="215">
        <f>J23+K23</f>
        <v>0</v>
      </c>
      <c r="J23" s="141"/>
      <c r="K23" s="129"/>
      <c r="L23" s="215">
        <f>M23+N23</f>
        <v>0</v>
      </c>
      <c r="M23" s="142"/>
      <c r="N23" s="129"/>
      <c r="O23" s="215">
        <f>P23+Q23</f>
        <v>0</v>
      </c>
      <c r="P23" s="142"/>
      <c r="Q23" s="129"/>
      <c r="R23" s="215">
        <f>S23+T23</f>
        <v>0</v>
      </c>
      <c r="S23" s="142"/>
      <c r="T23" s="129"/>
      <c r="U23" s="215">
        <f>V23+W23</f>
        <v>0</v>
      </c>
      <c r="V23" s="143"/>
      <c r="W23" s="129"/>
      <c r="X23" s="215">
        <f>Y23+Z23</f>
        <v>0</v>
      </c>
      <c r="Y23" s="143"/>
      <c r="Z23" s="129"/>
      <c r="AA23" s="215">
        <f>AB23+AC23</f>
        <v>0</v>
      </c>
      <c r="AB23" s="143"/>
      <c r="AC23" s="129"/>
      <c r="AD23" s="223">
        <f>F23+I23+L23+O23+R23+U23+X23+AA23</f>
        <v>0</v>
      </c>
    </row>
    <row r="24" spans="1:30" x14ac:dyDescent="0.2">
      <c r="A24" s="12" t="s">
        <v>303</v>
      </c>
      <c r="B24" s="6" t="s">
        <v>304</v>
      </c>
      <c r="C24" s="150"/>
      <c r="D24" s="145"/>
      <c r="E24" s="150"/>
      <c r="F24" s="199"/>
      <c r="G24" s="186"/>
      <c r="H24" s="127"/>
      <c r="I24" s="218"/>
      <c r="J24" s="141"/>
      <c r="K24" s="129"/>
      <c r="L24" s="199"/>
      <c r="M24" s="142"/>
      <c r="N24" s="129"/>
      <c r="O24" s="199"/>
      <c r="P24" s="142"/>
      <c r="Q24" s="129"/>
      <c r="R24" s="199"/>
      <c r="S24" s="142"/>
      <c r="T24" s="129"/>
      <c r="U24" s="199"/>
      <c r="V24" s="143"/>
      <c r="W24" s="129"/>
      <c r="X24" s="199"/>
      <c r="Y24" s="143"/>
      <c r="Z24" s="129"/>
      <c r="AA24" s="199"/>
      <c r="AB24" s="143"/>
      <c r="AC24" s="129"/>
      <c r="AD24" s="211"/>
    </row>
    <row r="25" spans="1:30" s="32" customFormat="1" x14ac:dyDescent="0.2">
      <c r="A25" s="53" t="s">
        <v>397</v>
      </c>
      <c r="B25" s="128" t="s">
        <v>398</v>
      </c>
      <c r="C25" s="150"/>
      <c r="D25" s="145"/>
      <c r="E25" s="222">
        <f>INGRESOS!C23</f>
        <v>0</v>
      </c>
      <c r="F25" s="215">
        <f>G25+H25</f>
        <v>0</v>
      </c>
      <c r="G25" s="186"/>
      <c r="H25" s="228"/>
      <c r="I25" s="215">
        <f>J25+K25</f>
        <v>0</v>
      </c>
      <c r="J25" s="187"/>
      <c r="K25" s="154"/>
      <c r="L25" s="215">
        <f>M25+N25</f>
        <v>0</v>
      </c>
      <c r="M25" s="146"/>
      <c r="N25" s="154"/>
      <c r="O25" s="215">
        <f>P25+Q25</f>
        <v>0</v>
      </c>
      <c r="P25" s="146"/>
      <c r="Q25" s="154"/>
      <c r="R25" s="215">
        <f>S25+T25</f>
        <v>0</v>
      </c>
      <c r="S25" s="146"/>
      <c r="T25" s="154"/>
      <c r="U25" s="215">
        <f>V25+W25</f>
        <v>0</v>
      </c>
      <c r="V25" s="151"/>
      <c r="W25" s="154"/>
      <c r="X25" s="215">
        <f>Y25+Z25</f>
        <v>0</v>
      </c>
      <c r="Y25" s="151"/>
      <c r="Z25" s="154"/>
      <c r="AA25" s="215">
        <f>AB25+AC25</f>
        <v>0</v>
      </c>
      <c r="AB25" s="151"/>
      <c r="AC25" s="154"/>
      <c r="AD25" s="223">
        <f>F25+I25+L25+O25+R25+U25+X25+AA25</f>
        <v>0</v>
      </c>
    </row>
    <row r="26" spans="1:30" s="32" customFormat="1" x14ac:dyDescent="0.2">
      <c r="A26" s="230" t="s">
        <v>305</v>
      </c>
      <c r="B26" s="128" t="s">
        <v>306</v>
      </c>
      <c r="C26" s="151"/>
      <c r="D26" s="146"/>
      <c r="E26" s="222">
        <f>INGRESOS!C24</f>
        <v>109546</v>
      </c>
      <c r="F26" s="219">
        <f>G26+H26</f>
        <v>0</v>
      </c>
      <c r="G26" s="187"/>
      <c r="H26" s="228"/>
      <c r="I26" s="219">
        <f>J26+K26</f>
        <v>64167.47</v>
      </c>
      <c r="J26" s="187"/>
      <c r="K26" s="154">
        <v>64167.47</v>
      </c>
      <c r="L26" s="219">
        <f>M26+N26</f>
        <v>45378.53</v>
      </c>
      <c r="M26" s="146">
        <v>21147.3</v>
      </c>
      <c r="N26" s="154">
        <v>24231.23</v>
      </c>
      <c r="O26" s="219">
        <f>P26+Q26</f>
        <v>0</v>
      </c>
      <c r="P26" s="146"/>
      <c r="Q26" s="154"/>
      <c r="R26" s="219">
        <f>S26+T26</f>
        <v>0</v>
      </c>
      <c r="S26" s="146"/>
      <c r="T26" s="154"/>
      <c r="U26" s="219">
        <f>V26+W26</f>
        <v>0</v>
      </c>
      <c r="V26" s="151"/>
      <c r="W26" s="154"/>
      <c r="X26" s="219">
        <f>Y26+Z26</f>
        <v>0</v>
      </c>
      <c r="Y26" s="151"/>
      <c r="Z26" s="154"/>
      <c r="AA26" s="219">
        <f>AB26+AC26</f>
        <v>0</v>
      </c>
      <c r="AB26" s="151"/>
      <c r="AC26" s="154"/>
      <c r="AD26" s="231">
        <f>F26+I26+L26+O26+R26+U26+X26+AA26</f>
        <v>109546</v>
      </c>
    </row>
    <row r="27" spans="1:30" x14ac:dyDescent="0.2">
      <c r="A27" s="67" t="s">
        <v>307</v>
      </c>
      <c r="B27" s="128" t="s">
        <v>308</v>
      </c>
      <c r="C27" s="151"/>
      <c r="D27" s="146"/>
      <c r="E27" s="222">
        <f>INGRESOS!C25</f>
        <v>0</v>
      </c>
      <c r="F27" s="215">
        <f>G27+H27</f>
        <v>0</v>
      </c>
      <c r="G27" s="187"/>
      <c r="H27" s="127"/>
      <c r="I27" s="215">
        <f>J27+K27</f>
        <v>0</v>
      </c>
      <c r="J27" s="141"/>
      <c r="K27" s="129"/>
      <c r="L27" s="215">
        <f>M27+N27</f>
        <v>0</v>
      </c>
      <c r="M27" s="142"/>
      <c r="N27" s="129"/>
      <c r="O27" s="215">
        <f>P27+Q27</f>
        <v>0</v>
      </c>
      <c r="P27" s="142"/>
      <c r="Q27" s="129"/>
      <c r="R27" s="215">
        <f>S27+T27</f>
        <v>0</v>
      </c>
      <c r="S27" s="142"/>
      <c r="T27" s="129"/>
      <c r="U27" s="215">
        <f>V27+W27</f>
        <v>0</v>
      </c>
      <c r="V27" s="143"/>
      <c r="W27" s="129"/>
      <c r="X27" s="215">
        <f>Y27+Z27</f>
        <v>0</v>
      </c>
      <c r="Y27" s="143"/>
      <c r="Z27" s="129"/>
      <c r="AA27" s="215">
        <f>AB27+AC27</f>
        <v>0</v>
      </c>
      <c r="AB27" s="143"/>
      <c r="AC27" s="129"/>
      <c r="AD27" s="223">
        <f>F27+I27+L27+O27+R27+U27+X27+AA27</f>
        <v>0</v>
      </c>
    </row>
    <row r="28" spans="1:30" x14ac:dyDescent="0.2">
      <c r="A28" s="12" t="s">
        <v>315</v>
      </c>
      <c r="B28" s="6" t="s">
        <v>316</v>
      </c>
      <c r="C28" s="150"/>
      <c r="D28" s="145"/>
      <c r="E28" s="150"/>
      <c r="F28" s="199"/>
      <c r="G28" s="186"/>
      <c r="H28" s="127"/>
      <c r="I28" s="218"/>
      <c r="J28" s="141"/>
      <c r="K28" s="129"/>
      <c r="L28" s="199"/>
      <c r="M28" s="142"/>
      <c r="N28" s="129"/>
      <c r="O28" s="199"/>
      <c r="P28" s="142"/>
      <c r="Q28" s="129"/>
      <c r="R28" s="199"/>
      <c r="S28" s="142"/>
      <c r="T28" s="129"/>
      <c r="U28" s="199"/>
      <c r="V28" s="143"/>
      <c r="W28" s="129"/>
      <c r="X28" s="199"/>
      <c r="Y28" s="143"/>
      <c r="Z28" s="129"/>
      <c r="AA28" s="199"/>
      <c r="AB28" s="143"/>
      <c r="AC28" s="129"/>
      <c r="AD28" s="211"/>
    </row>
    <row r="29" spans="1:30" x14ac:dyDescent="0.2">
      <c r="A29" s="12" t="s">
        <v>313</v>
      </c>
      <c r="B29" s="6" t="s">
        <v>314</v>
      </c>
      <c r="C29" s="150"/>
      <c r="D29" s="145"/>
      <c r="E29" s="150"/>
      <c r="F29" s="199"/>
      <c r="G29" s="186"/>
      <c r="H29" s="127"/>
      <c r="I29" s="218"/>
      <c r="J29" s="141"/>
      <c r="K29" s="129"/>
      <c r="L29" s="199"/>
      <c r="M29" s="142"/>
      <c r="N29" s="129"/>
      <c r="O29" s="199"/>
      <c r="P29" s="142"/>
      <c r="Q29" s="129"/>
      <c r="R29" s="199"/>
      <c r="S29" s="142"/>
      <c r="T29" s="129"/>
      <c r="U29" s="199"/>
      <c r="V29" s="143"/>
      <c r="W29" s="129"/>
      <c r="X29" s="199"/>
      <c r="Y29" s="143"/>
      <c r="Z29" s="129"/>
      <c r="AA29" s="199"/>
      <c r="AB29" s="143"/>
      <c r="AC29" s="129"/>
      <c r="AD29" s="211"/>
    </row>
    <row r="30" spans="1:30" x14ac:dyDescent="0.2">
      <c r="A30" s="12" t="s">
        <v>309</v>
      </c>
      <c r="B30" s="6" t="s">
        <v>310</v>
      </c>
      <c r="C30" s="150"/>
      <c r="D30" s="145"/>
      <c r="E30" s="150"/>
      <c r="F30" s="199"/>
      <c r="G30" s="186"/>
      <c r="H30" s="127"/>
      <c r="I30" s="218"/>
      <c r="J30" s="141"/>
      <c r="K30" s="129"/>
      <c r="L30" s="199"/>
      <c r="M30" s="142"/>
      <c r="N30" s="129"/>
      <c r="O30" s="199"/>
      <c r="P30" s="142"/>
      <c r="Q30" s="129"/>
      <c r="R30" s="199"/>
      <c r="S30" s="142"/>
      <c r="T30" s="129"/>
      <c r="U30" s="199"/>
      <c r="V30" s="143"/>
      <c r="W30" s="129"/>
      <c r="X30" s="199"/>
      <c r="Y30" s="143"/>
      <c r="Z30" s="129"/>
      <c r="AA30" s="199"/>
      <c r="AB30" s="143"/>
      <c r="AC30" s="129"/>
      <c r="AD30" s="211"/>
    </row>
    <row r="31" spans="1:30" ht="22.5" x14ac:dyDescent="0.2">
      <c r="A31" s="80" t="s">
        <v>311</v>
      </c>
      <c r="B31" s="72" t="s">
        <v>312</v>
      </c>
      <c r="C31" s="151"/>
      <c r="D31" s="146"/>
      <c r="E31" s="222">
        <f>INGRESOS!C29</f>
        <v>0</v>
      </c>
      <c r="F31" s="215">
        <f>G31+H31</f>
        <v>0</v>
      </c>
      <c r="G31" s="187"/>
      <c r="H31" s="127"/>
      <c r="I31" s="215">
        <f>J31+K31</f>
        <v>0</v>
      </c>
      <c r="J31" s="141"/>
      <c r="K31" s="129"/>
      <c r="L31" s="215">
        <f>M31+N31</f>
        <v>0</v>
      </c>
      <c r="M31" s="142"/>
      <c r="N31" s="129"/>
      <c r="O31" s="215">
        <f>P31+Q31</f>
        <v>0</v>
      </c>
      <c r="P31" s="142"/>
      <c r="Q31" s="129"/>
      <c r="R31" s="215">
        <f>S31+T31</f>
        <v>0</v>
      </c>
      <c r="S31" s="142"/>
      <c r="T31" s="129"/>
      <c r="U31" s="215">
        <f>V31+W31</f>
        <v>0</v>
      </c>
      <c r="V31" s="143"/>
      <c r="W31" s="129"/>
      <c r="X31" s="215">
        <f>Y31+Z31</f>
        <v>0</v>
      </c>
      <c r="Y31" s="143"/>
      <c r="Z31" s="129"/>
      <c r="AA31" s="215">
        <f>AB31+AC31</f>
        <v>0</v>
      </c>
      <c r="AB31" s="143"/>
      <c r="AC31" s="129"/>
      <c r="AD31" s="223">
        <f>F31+I31+L31+O31+R31+U31+X31+AA31</f>
        <v>0</v>
      </c>
    </row>
    <row r="32" spans="1:30" x14ac:dyDescent="0.2">
      <c r="A32" s="165" t="s">
        <v>359</v>
      </c>
      <c r="B32" s="161" t="s">
        <v>360</v>
      </c>
      <c r="C32" s="151"/>
      <c r="D32" s="146"/>
      <c r="E32" s="222">
        <f>INGRESOS!C30</f>
        <v>0</v>
      </c>
      <c r="F32" s="215">
        <f>G32+H32</f>
        <v>0</v>
      </c>
      <c r="G32" s="187"/>
      <c r="H32" s="127"/>
      <c r="I32" s="215">
        <f>J32+K32</f>
        <v>0</v>
      </c>
      <c r="J32" s="141"/>
      <c r="K32" s="129"/>
      <c r="L32" s="215">
        <f>M32+N32</f>
        <v>0</v>
      </c>
      <c r="M32" s="142"/>
      <c r="N32" s="129"/>
      <c r="O32" s="215">
        <f>P32+Q32</f>
        <v>0</v>
      </c>
      <c r="P32" s="142"/>
      <c r="Q32" s="129"/>
      <c r="R32" s="215">
        <f>S32+T32</f>
        <v>0</v>
      </c>
      <c r="S32" s="142"/>
      <c r="T32" s="129"/>
      <c r="U32" s="215">
        <f>V32+W32</f>
        <v>0</v>
      </c>
      <c r="V32" s="143"/>
      <c r="W32" s="129"/>
      <c r="X32" s="215">
        <f>Y32+Z32</f>
        <v>0</v>
      </c>
      <c r="Y32" s="143"/>
      <c r="Z32" s="129"/>
      <c r="AA32" s="215">
        <f>AB32+AC32</f>
        <v>0</v>
      </c>
      <c r="AB32" s="143"/>
      <c r="AC32" s="129"/>
      <c r="AD32" s="223">
        <f>F32+I32+L32+O32+R32+U32+X32+AA32</f>
        <v>0</v>
      </c>
    </row>
    <row r="33" spans="1:30" x14ac:dyDescent="0.2">
      <c r="A33" s="68" t="s">
        <v>57</v>
      </c>
      <c r="B33" s="76" t="s">
        <v>321</v>
      </c>
      <c r="C33" s="152"/>
      <c r="D33" s="147">
        <f>E35+E36+E37</f>
        <v>392000</v>
      </c>
      <c r="E33" s="152"/>
      <c r="F33" s="201"/>
      <c r="G33" s="188"/>
      <c r="H33" s="127"/>
      <c r="I33" s="220"/>
      <c r="J33" s="141"/>
      <c r="K33" s="129"/>
      <c r="L33" s="201"/>
      <c r="M33" s="142"/>
      <c r="N33" s="129"/>
      <c r="O33" s="201"/>
      <c r="P33" s="142"/>
      <c r="Q33" s="129"/>
      <c r="R33" s="201"/>
      <c r="S33" s="142"/>
      <c r="T33" s="129"/>
      <c r="U33" s="201"/>
      <c r="V33" s="143"/>
      <c r="W33" s="129"/>
      <c r="X33" s="201"/>
      <c r="Y33" s="143"/>
      <c r="Z33" s="129"/>
      <c r="AA33" s="201"/>
      <c r="AB33" s="143"/>
      <c r="AC33" s="129"/>
      <c r="AD33" s="211"/>
    </row>
    <row r="34" spans="1:30" ht="22.5" x14ac:dyDescent="0.2">
      <c r="A34" s="77" t="s">
        <v>58</v>
      </c>
      <c r="B34" s="74" t="s">
        <v>323</v>
      </c>
      <c r="C34" s="150"/>
      <c r="D34" s="145"/>
      <c r="E34" s="150"/>
      <c r="F34" s="199"/>
      <c r="G34" s="186"/>
      <c r="H34" s="127"/>
      <c r="I34" s="218"/>
      <c r="J34" s="141"/>
      <c r="K34" s="129"/>
      <c r="L34" s="199"/>
      <c r="M34" s="142"/>
      <c r="N34" s="129"/>
      <c r="O34" s="199"/>
      <c r="P34" s="142"/>
      <c r="Q34" s="129"/>
      <c r="R34" s="199"/>
      <c r="S34" s="142"/>
      <c r="T34" s="129"/>
      <c r="U34" s="199"/>
      <c r="V34" s="143"/>
      <c r="W34" s="129"/>
      <c r="X34" s="199"/>
      <c r="Y34" s="143"/>
      <c r="Z34" s="129"/>
      <c r="AA34" s="218"/>
      <c r="AB34" s="143"/>
      <c r="AC34" s="129"/>
      <c r="AD34" s="211"/>
    </row>
    <row r="35" spans="1:30" s="32" customFormat="1" x14ac:dyDescent="0.2">
      <c r="A35" s="232" t="s">
        <v>325</v>
      </c>
      <c r="B35" s="229" t="s">
        <v>324</v>
      </c>
      <c r="C35" s="151"/>
      <c r="D35" s="146"/>
      <c r="E35" s="222">
        <f>INGRESOS!C33</f>
        <v>372000</v>
      </c>
      <c r="F35" s="219">
        <f>G35+H35</f>
        <v>187286.47</v>
      </c>
      <c r="G35" s="187">
        <v>2200</v>
      </c>
      <c r="H35" s="228">
        <v>185086.47</v>
      </c>
      <c r="I35" s="219">
        <f>J35+K35</f>
        <v>178463.53</v>
      </c>
      <c r="J35" s="187">
        <f>'RESUM. GASTO SOLICIIT. SUBPART '!H36+'RESUM. GASTO SOLICIIT. SUBPART '!H45+'RESUM. GASTO SOLICIIT. SUBPART '!H60+'RESUM. GASTO SOLICIIT. SUBPART '!H62+'RESUM. GASTO SOLICIIT. SUBPART '!H69</f>
        <v>136275</v>
      </c>
      <c r="K35" s="154">
        <v>42188.53</v>
      </c>
      <c r="L35" s="219">
        <f>M35+N35</f>
        <v>0</v>
      </c>
      <c r="M35" s="146"/>
      <c r="N35" s="154"/>
      <c r="O35" s="219">
        <f>P35+Q35</f>
        <v>0</v>
      </c>
      <c r="P35" s="146"/>
      <c r="Q35" s="154"/>
      <c r="R35" s="219">
        <f>S35+T35</f>
        <v>0</v>
      </c>
      <c r="S35" s="146"/>
      <c r="T35" s="154"/>
      <c r="U35" s="219">
        <f>V35+W35</f>
        <v>6250</v>
      </c>
      <c r="V35" s="151"/>
      <c r="W35" s="154">
        <v>6250</v>
      </c>
      <c r="X35" s="219">
        <f>Y35+Z35</f>
        <v>0</v>
      </c>
      <c r="Y35" s="151"/>
      <c r="Z35" s="154"/>
      <c r="AA35" s="219">
        <f>AB35+AC35</f>
        <v>0</v>
      </c>
      <c r="AB35" s="151"/>
      <c r="AC35" s="154"/>
      <c r="AD35" s="231">
        <f>F35+I35+L35+O35+R35+U35+X35+AA35</f>
        <v>372000</v>
      </c>
    </row>
    <row r="36" spans="1:30" s="32" customFormat="1" ht="22.5" x14ac:dyDescent="0.2">
      <c r="A36" s="268" t="s">
        <v>473</v>
      </c>
      <c r="B36" s="269" t="s">
        <v>471</v>
      </c>
      <c r="C36" s="151"/>
      <c r="D36" s="146"/>
      <c r="E36" s="222">
        <f>INGRESOS!C35</f>
        <v>0</v>
      </c>
      <c r="F36" s="219">
        <f>G36+H36</f>
        <v>0</v>
      </c>
      <c r="G36" s="187"/>
      <c r="H36" s="228"/>
      <c r="I36" s="219">
        <f>J36+K36</f>
        <v>0</v>
      </c>
      <c r="J36" s="187"/>
      <c r="K36" s="154"/>
      <c r="L36" s="219">
        <f>M36+N36</f>
        <v>0</v>
      </c>
      <c r="M36" s="146"/>
      <c r="N36" s="154"/>
      <c r="O36" s="219">
        <f>P36+Q36</f>
        <v>0</v>
      </c>
      <c r="P36" s="146"/>
      <c r="Q36" s="154"/>
      <c r="R36" s="219">
        <f>S36+T36</f>
        <v>0</v>
      </c>
      <c r="S36" s="146"/>
      <c r="T36" s="154"/>
      <c r="U36" s="219">
        <f>V36+W36</f>
        <v>0</v>
      </c>
      <c r="V36" s="151"/>
      <c r="W36" s="154"/>
      <c r="X36" s="219">
        <f>Y36+Z36</f>
        <v>0</v>
      </c>
      <c r="Y36" s="151"/>
      <c r="Z36" s="154"/>
      <c r="AA36" s="219">
        <f>AB36+AC36</f>
        <v>0</v>
      </c>
      <c r="AB36" s="151"/>
      <c r="AC36" s="154"/>
      <c r="AD36" s="231">
        <f>F36+I36+L36+O36+R36+U36+X36+AA36</f>
        <v>0</v>
      </c>
    </row>
    <row r="37" spans="1:30" s="32" customFormat="1" ht="22.5" x14ac:dyDescent="0.2">
      <c r="A37" s="233" t="s">
        <v>380</v>
      </c>
      <c r="B37" s="234" t="s">
        <v>379</v>
      </c>
      <c r="C37" s="151"/>
      <c r="D37" s="146"/>
      <c r="E37" s="222">
        <f>INGRESOS!C37</f>
        <v>20000</v>
      </c>
      <c r="F37" s="219">
        <f>G37+H37</f>
        <v>0</v>
      </c>
      <c r="G37" s="187"/>
      <c r="H37" s="228"/>
      <c r="I37" s="219">
        <f>J37+K37</f>
        <v>0</v>
      </c>
      <c r="J37" s="187"/>
      <c r="K37" s="154"/>
      <c r="L37" s="219">
        <f>M37+N37</f>
        <v>20000</v>
      </c>
      <c r="M37" s="146"/>
      <c r="N37" s="154">
        <v>20000</v>
      </c>
      <c r="O37" s="219">
        <f>P37+Q37</f>
        <v>0</v>
      </c>
      <c r="P37" s="146"/>
      <c r="Q37" s="154"/>
      <c r="R37" s="219">
        <f>S37+T37</f>
        <v>0</v>
      </c>
      <c r="S37" s="146"/>
      <c r="T37" s="154"/>
      <c r="U37" s="219">
        <f>V37+W37</f>
        <v>0</v>
      </c>
      <c r="V37" s="151"/>
      <c r="W37" s="154"/>
      <c r="X37" s="219">
        <f>Y37+Z37</f>
        <v>0</v>
      </c>
      <c r="Y37" s="151"/>
      <c r="Z37" s="154"/>
      <c r="AA37" s="219">
        <f>AB37+AC37</f>
        <v>0</v>
      </c>
      <c r="AB37" s="151"/>
      <c r="AC37" s="154"/>
      <c r="AD37" s="231">
        <f>F37+I37+L37+O37+R37+U37+X37+AA37</f>
        <v>20000</v>
      </c>
    </row>
    <row r="38" spans="1:30" x14ac:dyDescent="0.2">
      <c r="A38" s="78"/>
      <c r="B38" s="72"/>
      <c r="C38" s="151"/>
      <c r="D38" s="146"/>
      <c r="E38" s="151"/>
      <c r="F38" s="200"/>
      <c r="G38" s="187"/>
      <c r="H38" s="127"/>
      <c r="I38" s="198"/>
      <c r="J38" s="141"/>
      <c r="K38" s="129"/>
      <c r="L38" s="198"/>
      <c r="M38" s="142"/>
      <c r="N38" s="129"/>
      <c r="O38" s="198"/>
      <c r="P38" s="142"/>
      <c r="Q38" s="129"/>
      <c r="R38" s="198"/>
      <c r="S38" s="142"/>
      <c r="T38" s="129"/>
      <c r="U38" s="207"/>
      <c r="V38" s="143"/>
      <c r="W38" s="129"/>
      <c r="X38" s="207"/>
      <c r="Y38" s="143"/>
      <c r="Z38" s="129"/>
      <c r="AA38" s="207"/>
      <c r="AB38" s="143"/>
      <c r="AC38" s="129"/>
      <c r="AD38" s="211"/>
    </row>
    <row r="39" spans="1:30" x14ac:dyDescent="0.2">
      <c r="A39" s="312" t="s">
        <v>346</v>
      </c>
      <c r="B39" s="313" t="s">
        <v>326</v>
      </c>
      <c r="C39" s="150">
        <f>D41</f>
        <v>553290.73</v>
      </c>
      <c r="D39" s="146"/>
      <c r="E39" s="151"/>
      <c r="F39" s="200"/>
      <c r="G39" s="187"/>
      <c r="H39" s="228"/>
      <c r="I39" s="200"/>
      <c r="J39" s="187"/>
      <c r="K39" s="154"/>
      <c r="L39" s="200"/>
      <c r="M39" s="146"/>
      <c r="N39" s="154"/>
      <c r="O39" s="200"/>
      <c r="P39" s="146"/>
      <c r="Q39" s="154"/>
      <c r="R39" s="200"/>
      <c r="S39" s="146"/>
      <c r="T39" s="154"/>
      <c r="U39" s="252"/>
      <c r="V39" s="151"/>
      <c r="W39" s="154"/>
      <c r="X39" s="252"/>
      <c r="Y39" s="151"/>
      <c r="Z39" s="154"/>
      <c r="AA39" s="252"/>
      <c r="AB39" s="151"/>
      <c r="AC39" s="154"/>
      <c r="AD39" s="314"/>
    </row>
    <row r="40" spans="1:30" x14ac:dyDescent="0.2">
      <c r="A40" s="232"/>
      <c r="B40" s="229"/>
      <c r="C40" s="151"/>
      <c r="D40" s="146"/>
      <c r="E40" s="151"/>
      <c r="F40" s="200"/>
      <c r="G40" s="187"/>
      <c r="H40" s="228"/>
      <c r="I40" s="200"/>
      <c r="J40" s="187"/>
      <c r="K40" s="154"/>
      <c r="L40" s="200"/>
      <c r="M40" s="146"/>
      <c r="N40" s="154"/>
      <c r="O40" s="200"/>
      <c r="P40" s="146"/>
      <c r="Q40" s="154"/>
      <c r="R40" s="200"/>
      <c r="S40" s="146"/>
      <c r="T40" s="154"/>
      <c r="U40" s="252"/>
      <c r="V40" s="151"/>
      <c r="W40" s="154"/>
      <c r="X40" s="252"/>
      <c r="Y40" s="151"/>
      <c r="Z40" s="154"/>
      <c r="AA40" s="252"/>
      <c r="AB40" s="151"/>
      <c r="AC40" s="154"/>
      <c r="AD40" s="314"/>
    </row>
    <row r="41" spans="1:30" x14ac:dyDescent="0.2">
      <c r="A41" s="312" t="s">
        <v>347</v>
      </c>
      <c r="B41" s="315" t="s">
        <v>348</v>
      </c>
      <c r="C41" s="151"/>
      <c r="D41" s="147">
        <f>E43+E45+E46</f>
        <v>553290.73</v>
      </c>
      <c r="E41" s="151"/>
      <c r="F41" s="200"/>
      <c r="G41" s="187"/>
      <c r="H41" s="228"/>
      <c r="I41" s="200"/>
      <c r="J41" s="187"/>
      <c r="K41" s="154"/>
      <c r="L41" s="200"/>
      <c r="M41" s="146"/>
      <c r="N41" s="154"/>
      <c r="O41" s="200"/>
      <c r="P41" s="146"/>
      <c r="Q41" s="154"/>
      <c r="R41" s="200"/>
      <c r="S41" s="146"/>
      <c r="T41" s="154"/>
      <c r="U41" s="252"/>
      <c r="V41" s="151"/>
      <c r="W41" s="154"/>
      <c r="X41" s="252"/>
      <c r="Y41" s="151"/>
      <c r="Z41" s="154"/>
      <c r="AA41" s="252"/>
      <c r="AB41" s="151"/>
      <c r="AC41" s="154"/>
      <c r="AD41" s="314"/>
    </row>
    <row r="42" spans="1:30" x14ac:dyDescent="0.2">
      <c r="A42" s="312" t="s">
        <v>349</v>
      </c>
      <c r="B42" s="316" t="s">
        <v>350</v>
      </c>
      <c r="C42" s="151"/>
      <c r="D42" s="146"/>
      <c r="E42" s="151"/>
      <c r="F42" s="200"/>
      <c r="G42" s="187"/>
      <c r="H42" s="228"/>
      <c r="I42" s="200"/>
      <c r="J42" s="187"/>
      <c r="K42" s="154"/>
      <c r="L42" s="200"/>
      <c r="M42" s="146"/>
      <c r="N42" s="154"/>
      <c r="O42" s="200"/>
      <c r="P42" s="146"/>
      <c r="Q42" s="154"/>
      <c r="R42" s="200"/>
      <c r="S42" s="146"/>
      <c r="T42" s="154"/>
      <c r="U42" s="252"/>
      <c r="V42" s="151"/>
      <c r="W42" s="154"/>
      <c r="X42" s="252"/>
      <c r="Y42" s="151"/>
      <c r="Z42" s="154"/>
      <c r="AA42" s="252"/>
      <c r="AB42" s="151"/>
      <c r="AC42" s="154"/>
      <c r="AD42" s="314"/>
    </row>
    <row r="43" spans="1:30" x14ac:dyDescent="0.2">
      <c r="A43" s="232"/>
      <c r="B43" s="235" t="s">
        <v>351</v>
      </c>
      <c r="C43" s="151"/>
      <c r="D43" s="146"/>
      <c r="E43" s="151">
        <f>INGRESOS!C46</f>
        <v>407960.66</v>
      </c>
      <c r="F43" s="219">
        <f>G43+H43</f>
        <v>0</v>
      </c>
      <c r="G43" s="187"/>
      <c r="H43" s="228"/>
      <c r="I43" s="219">
        <f>J43+K43</f>
        <v>125952</v>
      </c>
      <c r="J43" s="187">
        <f>'RESUM. GASTO SOLICIIT. SUBPART '!H79+'RESUM. GASTO SOLICIIT. SUBPART '!H43</f>
        <v>48750</v>
      </c>
      <c r="K43" s="154">
        <f>'RESUM. GASTO SOLICIIT. SUBPART '!AC42+'RESUM. GASTO SOLICIIT. SUBPART '!AB65+'RESUM. GASTO SOLICIIT. SUBPART '!AB78-'RESUM. GASTO SOLICIIT. SUBPART '!S65</f>
        <v>77202</v>
      </c>
      <c r="L43" s="219">
        <f>M43+N43</f>
        <v>142356.76999999999</v>
      </c>
      <c r="M43" s="146">
        <f>'RESUM. GASTO SOLICIIT. SUBPART '!H112+'RESUM. GASTO SOLICIIT. SUBPART '!H113</f>
        <v>7485</v>
      </c>
      <c r="N43" s="154">
        <f>59441.77+'RESUM. GASTO SOLICIIT. SUBPART '!AB95+'RESUM. GASTO SOLICIIT. SUBPART '!AB97+'RESUM. GASTO SOLICIIT. SUBPART '!AB102+'RESUM. GASTO SOLICIIT. SUBPART '!AB112+'RESUM. GASTO SOLICIIT. SUBPART '!AB113+'RESUM. GASTO SOLICIIT. SUBPART '!AB119-N45</f>
        <v>134871.76999999999</v>
      </c>
      <c r="O43" s="219">
        <f>P43+Q43</f>
        <v>0</v>
      </c>
      <c r="P43" s="146"/>
      <c r="Q43" s="154"/>
      <c r="R43" s="219">
        <f>S43+T43</f>
        <v>123651.89</v>
      </c>
      <c r="S43" s="146">
        <f>'RESUM. GASTO SOLICIIT. SUBPART '!H129</f>
        <v>13694.2</v>
      </c>
      <c r="T43" s="154">
        <f>'RESUM. GASTO SOLICIIT. SUBPART '!AB129-'Est. Aplic. Fondos (Programa)'!T46</f>
        <v>109957.69</v>
      </c>
      <c r="U43" s="219">
        <f>V43+W43</f>
        <v>16000</v>
      </c>
      <c r="V43" s="151">
        <f>'RESUM. GASTO SOLICIIT. SUBPART '!AC149</f>
        <v>16000</v>
      </c>
      <c r="W43" s="154"/>
      <c r="X43" s="219">
        <f>Y43+Z43</f>
        <v>0</v>
      </c>
      <c r="Y43" s="151"/>
      <c r="Z43" s="154"/>
      <c r="AA43" s="219">
        <f>AB43+AC43</f>
        <v>0</v>
      </c>
      <c r="AB43" s="151"/>
      <c r="AC43" s="154"/>
      <c r="AD43" s="231">
        <f>F43+I43+L43+O43+R43+U43+X43+AA43</f>
        <v>407960.66000000003</v>
      </c>
    </row>
    <row r="44" spans="1:30" x14ac:dyDescent="0.2">
      <c r="A44" s="312" t="s">
        <v>352</v>
      </c>
      <c r="B44" s="316" t="s">
        <v>353</v>
      </c>
      <c r="C44" s="151"/>
      <c r="D44" s="146"/>
      <c r="E44" s="151"/>
      <c r="F44" s="200"/>
      <c r="G44" s="187"/>
      <c r="H44" s="228"/>
      <c r="I44" s="200"/>
      <c r="J44" s="187"/>
      <c r="K44" s="154"/>
      <c r="L44" s="200"/>
      <c r="M44" s="146"/>
      <c r="N44" s="154"/>
      <c r="O44" s="200"/>
      <c r="P44" s="146"/>
      <c r="Q44" s="154"/>
      <c r="R44" s="200"/>
      <c r="S44" s="146"/>
      <c r="T44" s="154"/>
      <c r="U44" s="252"/>
      <c r="V44" s="151"/>
      <c r="W44" s="154"/>
      <c r="X44" s="252"/>
      <c r="Y44" s="151"/>
      <c r="Z44" s="154"/>
      <c r="AA44" s="252"/>
      <c r="AB44" s="151"/>
      <c r="AC44" s="154"/>
      <c r="AD44" s="314"/>
    </row>
    <row r="45" spans="1:30" ht="22.5" x14ac:dyDescent="0.2">
      <c r="A45" s="232"/>
      <c r="B45" s="235" t="s">
        <v>413</v>
      </c>
      <c r="C45" s="151"/>
      <c r="D45" s="146"/>
      <c r="E45" s="151">
        <f>INGRESOS!C48</f>
        <v>40330.07</v>
      </c>
      <c r="F45" s="200"/>
      <c r="G45" s="187"/>
      <c r="H45" s="228"/>
      <c r="I45" s="219">
        <f>J45+K45</f>
        <v>25330.07</v>
      </c>
      <c r="J45" s="187"/>
      <c r="K45" s="154">
        <f>'RESUM. GASTO SOLICIIT. SUBPART '!S34</f>
        <v>25330.07</v>
      </c>
      <c r="L45" s="219">
        <f>M45+N45</f>
        <v>15000</v>
      </c>
      <c r="M45" s="146"/>
      <c r="N45" s="154">
        <f>'RESUM. GASTO SOLICIIT. SUBPART '!S91</f>
        <v>15000</v>
      </c>
      <c r="O45" s="219">
        <f>P45+Q45</f>
        <v>0</v>
      </c>
      <c r="P45" s="146"/>
      <c r="Q45" s="154"/>
      <c r="R45" s="219">
        <f>S45+T45</f>
        <v>0</v>
      </c>
      <c r="S45" s="146"/>
      <c r="T45" s="154"/>
      <c r="U45" s="219">
        <f>V45+W45</f>
        <v>0</v>
      </c>
      <c r="V45" s="151"/>
      <c r="W45" s="154"/>
      <c r="X45" s="219">
        <f>Y45+Z45</f>
        <v>0</v>
      </c>
      <c r="Y45" s="151"/>
      <c r="Z45" s="154"/>
      <c r="AA45" s="219">
        <f>AB45+AC45</f>
        <v>0</v>
      </c>
      <c r="AB45" s="151"/>
      <c r="AC45" s="154"/>
      <c r="AD45" s="231">
        <f>F45+I45+L45+O45+R45+U45+X45+AA45</f>
        <v>40330.07</v>
      </c>
    </row>
    <row r="46" spans="1:30" x14ac:dyDescent="0.2">
      <c r="A46" s="230"/>
      <c r="B46" s="235" t="s">
        <v>365</v>
      </c>
      <c r="C46" s="151"/>
      <c r="D46" s="146"/>
      <c r="E46" s="222">
        <f>INGRESOS!C49</f>
        <v>105000</v>
      </c>
      <c r="F46" s="219">
        <f>G46+H46</f>
        <v>0</v>
      </c>
      <c r="G46" s="187"/>
      <c r="H46" s="228"/>
      <c r="I46" s="219">
        <f>J46+K46</f>
        <v>0</v>
      </c>
      <c r="J46" s="187"/>
      <c r="K46" s="154">
        <f>'RESUM. GASTO SOLICIIT. SUBPART '!AA34</f>
        <v>0</v>
      </c>
      <c r="L46" s="219">
        <f>M46+N46</f>
        <v>0</v>
      </c>
      <c r="M46" s="146"/>
      <c r="N46" s="154">
        <f>'RESUM. GASTO SOLICIIT. SUBPART '!AA91</f>
        <v>0</v>
      </c>
      <c r="O46" s="219">
        <f>P46+Q46</f>
        <v>0</v>
      </c>
      <c r="P46" s="146"/>
      <c r="Q46" s="154"/>
      <c r="R46" s="219">
        <f>S46+T46</f>
        <v>105000</v>
      </c>
      <c r="S46" s="146"/>
      <c r="T46" s="154">
        <f>'RESUM. GASTO SOLICIIT. SUBPART '!AC140</f>
        <v>105000</v>
      </c>
      <c r="U46" s="219">
        <f>V46+W46</f>
        <v>0</v>
      </c>
      <c r="V46" s="151"/>
      <c r="W46" s="154"/>
      <c r="X46" s="219">
        <f>Y46+Z46</f>
        <v>0</v>
      </c>
      <c r="Y46" s="151"/>
      <c r="Z46" s="154"/>
      <c r="AA46" s="219">
        <f>AB46+AC46</f>
        <v>0</v>
      </c>
      <c r="AB46" s="151"/>
      <c r="AC46" s="154"/>
      <c r="AD46" s="231">
        <f>F46+I46+L46+O46+R46+U46+X46+AA46</f>
        <v>105000</v>
      </c>
    </row>
    <row r="47" spans="1:30" ht="13.5" thickBot="1" x14ac:dyDescent="0.25">
      <c r="A47" s="54"/>
      <c r="B47" s="317"/>
      <c r="C47" s="151"/>
      <c r="D47" s="146"/>
      <c r="E47" s="151"/>
      <c r="F47" s="200"/>
      <c r="G47" s="187"/>
      <c r="H47" s="318"/>
      <c r="I47" s="319"/>
      <c r="J47" s="320"/>
      <c r="K47" s="321"/>
      <c r="L47" s="319"/>
      <c r="M47" s="322"/>
      <c r="N47" s="321"/>
      <c r="O47" s="319"/>
      <c r="P47" s="322"/>
      <c r="Q47" s="321"/>
      <c r="R47" s="319"/>
      <c r="S47" s="322"/>
      <c r="T47" s="321"/>
      <c r="U47" s="323"/>
      <c r="V47" s="324"/>
      <c r="W47" s="321"/>
      <c r="X47" s="323"/>
      <c r="Y47" s="324"/>
      <c r="Z47" s="321"/>
      <c r="AA47" s="323"/>
      <c r="AB47" s="324"/>
      <c r="AC47" s="321"/>
      <c r="AD47" s="325"/>
    </row>
    <row r="48" spans="1:30" ht="13.5" thickBot="1" x14ac:dyDescent="0.25">
      <c r="A48" s="367" t="s">
        <v>333</v>
      </c>
      <c r="B48" s="368"/>
      <c r="C48" s="326">
        <f>C11+C39</f>
        <v>1304386.73</v>
      </c>
      <c r="D48" s="327"/>
      <c r="E48" s="328"/>
      <c r="F48" s="329"/>
      <c r="G48" s="330"/>
      <c r="H48" s="331"/>
      <c r="I48" s="329"/>
      <c r="J48" s="330"/>
      <c r="K48" s="331"/>
      <c r="L48" s="329"/>
      <c r="M48" s="330"/>
      <c r="N48" s="331"/>
      <c r="O48" s="329"/>
      <c r="P48" s="330"/>
      <c r="Q48" s="331"/>
      <c r="R48" s="329"/>
      <c r="S48" s="330"/>
      <c r="T48" s="331"/>
      <c r="U48" s="329"/>
      <c r="V48" s="330"/>
      <c r="W48" s="331"/>
      <c r="X48" s="329"/>
      <c r="Y48" s="330"/>
      <c r="Z48" s="331"/>
      <c r="AA48" s="329"/>
      <c r="AB48" s="330"/>
      <c r="AC48" s="331"/>
      <c r="AD48" s="332"/>
    </row>
    <row r="49" spans="1:30" ht="13.5" thickBot="1" x14ac:dyDescent="0.25">
      <c r="A49" s="341" t="s">
        <v>334</v>
      </c>
      <c r="B49" s="342"/>
      <c r="C49" s="342"/>
      <c r="D49" s="342"/>
      <c r="E49" s="342"/>
      <c r="F49" s="189">
        <f>SUM(F11:F48)</f>
        <v>187286.47</v>
      </c>
      <c r="G49" s="191"/>
      <c r="H49" s="202"/>
      <c r="I49" s="189">
        <f>SUM(I11:I48)</f>
        <v>643463.06999999995</v>
      </c>
      <c r="J49" s="191"/>
      <c r="K49" s="202"/>
      <c r="L49" s="189">
        <f>SUM(L11:L48)</f>
        <v>222735.3</v>
      </c>
      <c r="M49" s="191"/>
      <c r="N49" s="202"/>
      <c r="O49" s="189">
        <f>SUM(O11:O48)</f>
        <v>0</v>
      </c>
      <c r="P49" s="191"/>
      <c r="Q49" s="202"/>
      <c r="R49" s="189">
        <f>SUM(R11:R48)</f>
        <v>228651.89</v>
      </c>
      <c r="S49" s="191"/>
      <c r="T49" s="202"/>
      <c r="U49" s="189">
        <f>SUM(U11:U48)</f>
        <v>22250</v>
      </c>
      <c r="V49" s="191"/>
      <c r="W49" s="202"/>
      <c r="X49" s="189">
        <f>SUM(X11:X48)</f>
        <v>0</v>
      </c>
      <c r="Y49" s="191"/>
      <c r="Z49" s="202"/>
      <c r="AA49" s="189">
        <f>SUM(AA11:AA48)</f>
        <v>0</v>
      </c>
      <c r="AB49" s="191"/>
      <c r="AC49" s="202"/>
      <c r="AD49" s="99">
        <f>SUM(AD14:AD48)</f>
        <v>1304386.7300000002</v>
      </c>
    </row>
    <row r="50" spans="1:30" ht="13.5" thickBot="1" x14ac:dyDescent="0.25">
      <c r="A50" s="341" t="s">
        <v>387</v>
      </c>
      <c r="B50" s="342"/>
      <c r="C50" s="342"/>
      <c r="D50" s="342"/>
      <c r="E50" s="342"/>
      <c r="F50" s="190"/>
      <c r="G50" s="191">
        <f>SUM(G14:G48)</f>
        <v>2200</v>
      </c>
      <c r="H50" s="202"/>
      <c r="I50" s="190"/>
      <c r="J50" s="191">
        <f>SUM(J14:J48)</f>
        <v>220856</v>
      </c>
      <c r="K50" s="202"/>
      <c r="L50" s="190"/>
      <c r="M50" s="191">
        <f>SUM(M14:M48)</f>
        <v>28632.3</v>
      </c>
      <c r="N50" s="202"/>
      <c r="O50" s="190"/>
      <c r="P50" s="191">
        <f>SUM(P14:P48)</f>
        <v>0</v>
      </c>
      <c r="Q50" s="202"/>
      <c r="R50" s="190"/>
      <c r="S50" s="191">
        <f>SUM(S14:S48)</f>
        <v>13694.2</v>
      </c>
      <c r="T50" s="202"/>
      <c r="U50" s="190"/>
      <c r="V50" s="191">
        <f>SUM(V14:V48)</f>
        <v>16000</v>
      </c>
      <c r="W50" s="202"/>
      <c r="X50" s="190"/>
      <c r="Y50" s="191">
        <f>SUM(Y14:Y48)</f>
        <v>0</v>
      </c>
      <c r="Z50" s="202"/>
      <c r="AA50" s="190"/>
      <c r="AB50" s="191">
        <f>SUM(AB14:AB48)</f>
        <v>0</v>
      </c>
      <c r="AC50" s="202"/>
      <c r="AD50" s="213">
        <f>G50+J50+M50+P50+S50+V50+Y50+AB50</f>
        <v>281382.5</v>
      </c>
    </row>
    <row r="51" spans="1:30" ht="13.5" thickBot="1" x14ac:dyDescent="0.25">
      <c r="A51" s="341" t="s">
        <v>388</v>
      </c>
      <c r="B51" s="342"/>
      <c r="C51" s="342"/>
      <c r="D51" s="342"/>
      <c r="E51" s="342"/>
      <c r="F51" s="190"/>
      <c r="G51" s="191"/>
      <c r="H51" s="202">
        <f>SUM(H14:H48)</f>
        <v>185086.47</v>
      </c>
      <c r="I51" s="190"/>
      <c r="J51" s="191"/>
      <c r="K51" s="202">
        <f>SUM(K14:K48)</f>
        <v>422607.07</v>
      </c>
      <c r="L51" s="190"/>
      <c r="M51" s="191"/>
      <c r="N51" s="202">
        <f>SUM(N14:N48)</f>
        <v>194103</v>
      </c>
      <c r="O51" s="190"/>
      <c r="P51" s="191"/>
      <c r="Q51" s="202">
        <f>SUM(Q14:Q48)</f>
        <v>0</v>
      </c>
      <c r="R51" s="190"/>
      <c r="S51" s="191"/>
      <c r="T51" s="202">
        <f>SUM(T14:T48)</f>
        <v>214957.69</v>
      </c>
      <c r="U51" s="190"/>
      <c r="V51" s="191"/>
      <c r="W51" s="202">
        <f>SUM(W14:W48)</f>
        <v>6250</v>
      </c>
      <c r="X51" s="190"/>
      <c r="Y51" s="191"/>
      <c r="Z51" s="202">
        <f>SUM(Z14:Z48)</f>
        <v>0</v>
      </c>
      <c r="AA51" s="190"/>
      <c r="AB51" s="191"/>
      <c r="AC51" s="202">
        <f>SUM(AC14:AC48)</f>
        <v>0</v>
      </c>
      <c r="AD51" s="213">
        <f>H51+K51+N51+Q51+T51+W51+Z51+AC51</f>
        <v>1023004.23</v>
      </c>
    </row>
    <row r="52" spans="1:30" ht="13.5" thickBot="1" x14ac:dyDescent="0.25">
      <c r="A52" s="341" t="s">
        <v>389</v>
      </c>
      <c r="B52" s="342"/>
      <c r="C52" s="342"/>
      <c r="D52" s="342"/>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342"/>
      <c r="AD52" s="214">
        <f>AD50+AD51</f>
        <v>1304386.73</v>
      </c>
    </row>
    <row r="53" spans="1:30" x14ac:dyDescent="0.2">
      <c r="A53" s="1"/>
      <c r="D53" s="59"/>
    </row>
    <row r="54" spans="1:30" x14ac:dyDescent="0.2">
      <c r="A54" s="1"/>
      <c r="D54" s="59"/>
    </row>
    <row r="55" spans="1:30" x14ac:dyDescent="0.2">
      <c r="A55" s="1"/>
    </row>
    <row r="56" spans="1:30" x14ac:dyDescent="0.2">
      <c r="A56" s="1"/>
      <c r="T56" s="58"/>
      <c r="U56" s="58"/>
      <c r="V56" s="58"/>
      <c r="W56" s="58"/>
      <c r="X56" s="58"/>
      <c r="Y56" s="58"/>
      <c r="Z56" s="58"/>
      <c r="AA56" s="58"/>
      <c r="AB56" s="58"/>
      <c r="AC56" s="58"/>
    </row>
    <row r="57" spans="1:30" x14ac:dyDescent="0.2">
      <c r="A57" s="1"/>
      <c r="C57" s="1"/>
      <c r="G57" s="122"/>
      <c r="I57" s="1"/>
      <c r="L57" s="1"/>
      <c r="M57" s="1"/>
      <c r="X57" s="1"/>
      <c r="Y57" s="1"/>
    </row>
    <row r="58" spans="1:30" x14ac:dyDescent="0.2">
      <c r="A58" s="1"/>
      <c r="C58" s="122"/>
      <c r="G58" s="122"/>
      <c r="I58" s="1"/>
      <c r="L58" s="1"/>
      <c r="M58" s="1"/>
      <c r="X58" s="1"/>
      <c r="Y58" s="1"/>
    </row>
  </sheetData>
  <mergeCells count="25">
    <mergeCell ref="A52:AC52"/>
    <mergeCell ref="AA9:AC9"/>
    <mergeCell ref="F8:AC8"/>
    <mergeCell ref="A49:E49"/>
    <mergeCell ref="A50:E50"/>
    <mergeCell ref="A51:E51"/>
    <mergeCell ref="A48:B48"/>
    <mergeCell ref="B9:B10"/>
    <mergeCell ref="C9:C10"/>
    <mergeCell ref="D9:D10"/>
    <mergeCell ref="E9:E10"/>
    <mergeCell ref="F9:H9"/>
    <mergeCell ref="I9:K9"/>
    <mergeCell ref="L9:N9"/>
    <mergeCell ref="O9:Q9"/>
    <mergeCell ref="A2:AD2"/>
    <mergeCell ref="A4:AD4"/>
    <mergeCell ref="A5:AD5"/>
    <mergeCell ref="A6:AD6"/>
    <mergeCell ref="A8:E8"/>
    <mergeCell ref="AD8:AD9"/>
    <mergeCell ref="R9:T9"/>
    <mergeCell ref="U9:W9"/>
    <mergeCell ref="X9:Z9"/>
    <mergeCell ref="A9:A10"/>
  </mergeCells>
  <printOptions horizontalCentered="1"/>
  <pageMargins left="0.11811023622047245" right="0.11811023622047245" top="0.43307086614173229" bottom="0.43307086614173229" header="0" footer="0"/>
  <pageSetup paperSize="9" scale="7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K97"/>
  <sheetViews>
    <sheetView topLeftCell="A4" workbookViewId="0">
      <pane xSplit="2" ySplit="7" topLeftCell="C30" activePane="bottomRight" state="frozen"/>
      <selection activeCell="A4" sqref="A4"/>
      <selection pane="topRight" activeCell="C4" sqref="C4"/>
      <selection pane="bottomLeft" activeCell="A11" sqref="A11"/>
      <selection pane="bottomRight" activeCell="F101" sqref="F101"/>
    </sheetView>
  </sheetViews>
  <sheetFormatPr baseColWidth="10" defaultRowHeight="12.75" x14ac:dyDescent="0.2"/>
  <cols>
    <col min="1" max="1" width="16.28515625" customWidth="1"/>
    <col min="2" max="2" width="35.140625" bestFit="1" customWidth="1"/>
    <col min="3" max="3" width="11.28515625" customWidth="1"/>
    <col min="4" max="4" width="10.7109375" bestFit="1" customWidth="1"/>
    <col min="5" max="5" width="10.140625" bestFit="1" customWidth="1"/>
    <col min="6" max="6" width="10.7109375" bestFit="1" customWidth="1"/>
    <col min="7" max="7" width="43" bestFit="1" customWidth="1"/>
    <col min="8" max="9" width="10.140625" customWidth="1"/>
    <col min="10" max="10" width="11.42578125" customWidth="1"/>
  </cols>
  <sheetData>
    <row r="2" spans="1:11" x14ac:dyDescent="0.2">
      <c r="A2" s="333" t="s">
        <v>1</v>
      </c>
      <c r="B2" s="333"/>
      <c r="C2" s="333"/>
      <c r="D2" s="333"/>
      <c r="E2" s="333"/>
      <c r="F2" s="333"/>
      <c r="G2" s="333"/>
      <c r="H2" s="333"/>
      <c r="I2" s="333"/>
      <c r="J2" s="333"/>
      <c r="K2" s="333"/>
    </row>
    <row r="4" spans="1:11" x14ac:dyDescent="0.2">
      <c r="A4" s="333" t="s">
        <v>515</v>
      </c>
      <c r="B4" s="333"/>
      <c r="C4" s="333"/>
      <c r="D4" s="333"/>
      <c r="E4" s="333"/>
      <c r="F4" s="333"/>
      <c r="G4" s="333"/>
      <c r="H4" s="333"/>
      <c r="I4" s="333"/>
      <c r="J4" s="333"/>
      <c r="K4" s="333"/>
    </row>
    <row r="5" spans="1:11" x14ac:dyDescent="0.2">
      <c r="A5" s="333" t="s">
        <v>470</v>
      </c>
      <c r="B5" s="333"/>
      <c r="C5" s="333"/>
      <c r="D5" s="333"/>
      <c r="E5" s="333"/>
      <c r="F5" s="333"/>
      <c r="G5" s="333"/>
      <c r="H5" s="333"/>
      <c r="I5" s="333"/>
      <c r="J5" s="333"/>
      <c r="K5" s="333"/>
    </row>
    <row r="6" spans="1:11" x14ac:dyDescent="0.2">
      <c r="A6" s="333" t="s">
        <v>62</v>
      </c>
      <c r="B6" s="333"/>
      <c r="C6" s="333"/>
      <c r="D6" s="333"/>
      <c r="E6" s="333"/>
      <c r="F6" s="333"/>
      <c r="G6" s="333"/>
      <c r="H6" s="333"/>
      <c r="I6" s="333"/>
      <c r="J6" s="333"/>
      <c r="K6" s="333"/>
    </row>
    <row r="7" spans="1:11" ht="13.5" thickBot="1" x14ac:dyDescent="0.25">
      <c r="A7" s="247"/>
      <c r="B7" s="247"/>
      <c r="C7" s="247"/>
      <c r="D7" s="247"/>
      <c r="E7" s="247"/>
      <c r="F7" s="248"/>
      <c r="G7" s="248"/>
      <c r="H7" s="247"/>
      <c r="I7" s="247"/>
    </row>
    <row r="8" spans="1:11" ht="17.25" customHeight="1" thickBot="1" x14ac:dyDescent="0.25">
      <c r="A8" s="354" t="s">
        <v>56</v>
      </c>
      <c r="B8" s="355"/>
      <c r="C8" s="355"/>
      <c r="D8" s="355"/>
      <c r="E8" s="355"/>
      <c r="F8" s="354" t="s">
        <v>328</v>
      </c>
      <c r="G8" s="355"/>
      <c r="H8" s="355"/>
      <c r="I8" s="355"/>
      <c r="J8" s="356"/>
      <c r="K8" s="357" t="s">
        <v>60</v>
      </c>
    </row>
    <row r="9" spans="1:11" ht="12.75" customHeight="1" x14ac:dyDescent="0.2">
      <c r="A9" s="365" t="s">
        <v>327</v>
      </c>
      <c r="B9" s="369" t="s">
        <v>0</v>
      </c>
      <c r="C9" s="369" t="s">
        <v>329</v>
      </c>
      <c r="D9" s="371" t="s">
        <v>330</v>
      </c>
      <c r="E9" s="372" t="s">
        <v>331</v>
      </c>
      <c r="F9" s="379" t="s">
        <v>468</v>
      </c>
      <c r="G9" s="369"/>
      <c r="H9" s="376" t="s">
        <v>469</v>
      </c>
      <c r="I9" s="377"/>
      <c r="J9" s="378"/>
      <c r="K9" s="358"/>
    </row>
    <row r="10" spans="1:11" ht="33.75" x14ac:dyDescent="0.2">
      <c r="A10" s="366"/>
      <c r="B10" s="370"/>
      <c r="C10" s="370"/>
      <c r="D10" s="369"/>
      <c r="E10" s="373"/>
      <c r="F10" s="300" t="s">
        <v>429</v>
      </c>
      <c r="G10" s="250" t="s">
        <v>430</v>
      </c>
      <c r="H10" s="120" t="s">
        <v>60</v>
      </c>
      <c r="I10" s="302" t="s">
        <v>385</v>
      </c>
      <c r="J10" s="301" t="s">
        <v>340</v>
      </c>
      <c r="K10" s="208"/>
    </row>
    <row r="11" spans="1:11" x14ac:dyDescent="0.2">
      <c r="A11" s="66" t="s">
        <v>346</v>
      </c>
      <c r="B11" s="65" t="s">
        <v>326</v>
      </c>
      <c r="C11" s="150">
        <f>D13</f>
        <v>553290.73</v>
      </c>
      <c r="D11" s="146"/>
      <c r="E11" s="151"/>
      <c r="F11" s="252"/>
      <c r="G11" s="258"/>
      <c r="H11" s="187"/>
      <c r="I11" s="187"/>
      <c r="J11" s="127"/>
      <c r="K11" s="211"/>
    </row>
    <row r="12" spans="1:11" x14ac:dyDescent="0.2">
      <c r="A12" s="78"/>
      <c r="B12" s="72"/>
      <c r="C12" s="151"/>
      <c r="D12" s="146"/>
      <c r="E12" s="151"/>
      <c r="F12" s="252"/>
      <c r="G12" s="146"/>
      <c r="H12" s="187"/>
      <c r="I12" s="187"/>
      <c r="J12" s="127"/>
      <c r="K12" s="211"/>
    </row>
    <row r="13" spans="1:11" x14ac:dyDescent="0.2">
      <c r="A13" s="66" t="s">
        <v>347</v>
      </c>
      <c r="B13" s="160" t="s">
        <v>348</v>
      </c>
      <c r="C13" s="151"/>
      <c r="D13" s="147">
        <f>E15+E64+E77</f>
        <v>553290.73</v>
      </c>
      <c r="E13" s="151"/>
      <c r="F13" s="252"/>
      <c r="G13" s="146"/>
      <c r="H13" s="187"/>
      <c r="I13" s="187"/>
      <c r="J13" s="127"/>
      <c r="K13" s="211"/>
    </row>
    <row r="14" spans="1:11" x14ac:dyDescent="0.2">
      <c r="A14" s="66" t="s">
        <v>467</v>
      </c>
      <c r="B14" s="74" t="s">
        <v>350</v>
      </c>
      <c r="C14" s="151"/>
      <c r="D14" s="146"/>
      <c r="E14" s="151"/>
      <c r="F14" s="252"/>
      <c r="G14" s="146"/>
      <c r="H14" s="187"/>
      <c r="I14" s="187"/>
      <c r="J14" s="127"/>
      <c r="K14" s="211"/>
    </row>
    <row r="15" spans="1:11" x14ac:dyDescent="0.2">
      <c r="A15" s="78"/>
      <c r="B15" s="161" t="s">
        <v>351</v>
      </c>
      <c r="C15" s="151"/>
      <c r="D15" s="146"/>
      <c r="E15" s="151">
        <f>INGRESOS!C46</f>
        <v>407960.66</v>
      </c>
      <c r="F15" s="252"/>
      <c r="G15" s="146"/>
      <c r="H15" s="251"/>
      <c r="I15" s="187"/>
      <c r="J15" s="127"/>
      <c r="K15" s="223">
        <f>H16+H27+H41+H59</f>
        <v>407960.66000000003</v>
      </c>
    </row>
    <row r="16" spans="1:11" x14ac:dyDescent="0.2">
      <c r="A16" s="67"/>
      <c r="B16" s="161"/>
      <c r="C16" s="151"/>
      <c r="D16" s="146"/>
      <c r="E16" s="151"/>
      <c r="F16" s="253">
        <v>1</v>
      </c>
      <c r="G16" s="259" t="s">
        <v>64</v>
      </c>
      <c r="H16" s="266">
        <f>H17+H20+H22+H24</f>
        <v>125952</v>
      </c>
      <c r="I16" s="187"/>
      <c r="J16" s="127"/>
      <c r="K16" s="223"/>
    </row>
    <row r="17" spans="1:11" x14ac:dyDescent="0.2">
      <c r="A17" s="67"/>
      <c r="B17" s="161"/>
      <c r="C17" s="151"/>
      <c r="D17" s="146"/>
      <c r="E17" s="151"/>
      <c r="F17" s="253">
        <v>1.02</v>
      </c>
      <c r="G17" s="259" t="s">
        <v>432</v>
      </c>
      <c r="H17" s="266">
        <f>H18+H19</f>
        <v>23500</v>
      </c>
      <c r="I17" s="187"/>
      <c r="J17" s="127"/>
      <c r="K17" s="223"/>
    </row>
    <row r="18" spans="1:11" x14ac:dyDescent="0.2">
      <c r="A18" s="67"/>
      <c r="B18" s="161"/>
      <c r="C18" s="151"/>
      <c r="D18" s="146"/>
      <c r="E18" s="151"/>
      <c r="F18" s="254" t="s">
        <v>161</v>
      </c>
      <c r="G18" s="260" t="s">
        <v>433</v>
      </c>
      <c r="H18" s="251">
        <f>I18+J18</f>
        <v>6750</v>
      </c>
      <c r="I18" s="187"/>
      <c r="J18" s="228">
        <f>'RESUM. GASTO SOLICIIT. SUBPART '!AC42</f>
        <v>6750</v>
      </c>
      <c r="K18" s="223"/>
    </row>
    <row r="19" spans="1:11" x14ac:dyDescent="0.2">
      <c r="A19" s="67"/>
      <c r="B19" s="161"/>
      <c r="C19" s="151"/>
      <c r="D19" s="146"/>
      <c r="E19" s="151"/>
      <c r="F19" s="254" t="s">
        <v>163</v>
      </c>
      <c r="G19" s="260" t="s">
        <v>434</v>
      </c>
      <c r="H19" s="251">
        <f>I19+J19</f>
        <v>16750</v>
      </c>
      <c r="I19" s="187">
        <f>'RESUM. GASTO SOLICIIT. SUBPART '!AC43</f>
        <v>16750</v>
      </c>
      <c r="J19" s="127"/>
      <c r="K19" s="223"/>
    </row>
    <row r="20" spans="1:11" x14ac:dyDescent="0.2">
      <c r="A20" s="67"/>
      <c r="B20" s="161"/>
      <c r="C20" s="151"/>
      <c r="D20" s="146"/>
      <c r="E20" s="151"/>
      <c r="F20" s="253">
        <v>1.05</v>
      </c>
      <c r="G20" s="259" t="s">
        <v>435</v>
      </c>
      <c r="H20" s="266">
        <f>H21</f>
        <v>65302.000000000007</v>
      </c>
      <c r="I20" s="187"/>
      <c r="J20" s="127"/>
      <c r="K20" s="223"/>
    </row>
    <row r="21" spans="1:11" x14ac:dyDescent="0.2">
      <c r="A21" s="67"/>
      <c r="B21" s="161"/>
      <c r="C21" s="151"/>
      <c r="D21" s="146"/>
      <c r="E21" s="151"/>
      <c r="F21" s="254" t="s">
        <v>78</v>
      </c>
      <c r="G21" s="260" t="s">
        <v>436</v>
      </c>
      <c r="H21" s="251">
        <f>I21+J21</f>
        <v>65302.000000000007</v>
      </c>
      <c r="I21" s="187"/>
      <c r="J21" s="228">
        <f>'RESUM. GASTO SOLICIIT. SUBPART '!AB65-'Superavit Libre y Específico'!J68</f>
        <v>65302.000000000007</v>
      </c>
      <c r="K21" s="223"/>
    </row>
    <row r="22" spans="1:11" hidden="1" x14ac:dyDescent="0.2">
      <c r="A22" s="67"/>
      <c r="B22" s="161"/>
      <c r="C22" s="151"/>
      <c r="D22" s="146"/>
      <c r="E22" s="151"/>
      <c r="F22" s="253">
        <v>1.07</v>
      </c>
      <c r="G22" s="259" t="s">
        <v>437</v>
      </c>
      <c r="H22" s="266">
        <f>H23</f>
        <v>0</v>
      </c>
      <c r="I22" s="187"/>
      <c r="J22" s="127"/>
      <c r="K22" s="223"/>
    </row>
    <row r="23" spans="1:11" hidden="1" x14ac:dyDescent="0.2">
      <c r="A23" s="67"/>
      <c r="B23" s="161"/>
      <c r="C23" s="151"/>
      <c r="D23" s="146"/>
      <c r="E23" s="151"/>
      <c r="F23" s="254" t="s">
        <v>79</v>
      </c>
      <c r="G23" s="260" t="s">
        <v>438</v>
      </c>
      <c r="H23" s="251">
        <f>I23+J23</f>
        <v>0</v>
      </c>
      <c r="I23" s="187"/>
      <c r="J23" s="127"/>
      <c r="K23" s="223"/>
    </row>
    <row r="24" spans="1:11" x14ac:dyDescent="0.2">
      <c r="A24" s="67"/>
      <c r="B24" s="161"/>
      <c r="C24" s="151"/>
      <c r="D24" s="146"/>
      <c r="E24" s="151"/>
      <c r="F24" s="253">
        <v>1.08</v>
      </c>
      <c r="G24" s="259" t="s">
        <v>439</v>
      </c>
      <c r="H24" s="266">
        <f>H25+H26</f>
        <v>37150</v>
      </c>
      <c r="I24" s="187"/>
      <c r="J24" s="127"/>
      <c r="K24" s="223"/>
    </row>
    <row r="25" spans="1:11" x14ac:dyDescent="0.2">
      <c r="A25" s="67"/>
      <c r="B25" s="161"/>
      <c r="C25" s="151"/>
      <c r="D25" s="146"/>
      <c r="E25" s="151"/>
      <c r="F25" s="254" t="s">
        <v>113</v>
      </c>
      <c r="G25" s="260" t="s">
        <v>440</v>
      </c>
      <c r="H25" s="251">
        <f t="shared" ref="H25:H26" si="0">I25+J25</f>
        <v>5150</v>
      </c>
      <c r="I25" s="187"/>
      <c r="J25" s="127">
        <f>'RESUM. GASTO SOLICIIT. SUBPART '!AC78</f>
        <v>5150</v>
      </c>
      <c r="K25" s="223"/>
    </row>
    <row r="26" spans="1:11" x14ac:dyDescent="0.2">
      <c r="A26" s="67"/>
      <c r="B26" s="161"/>
      <c r="C26" s="151"/>
      <c r="D26" s="146"/>
      <c r="E26" s="151"/>
      <c r="F26" s="254" t="s">
        <v>81</v>
      </c>
      <c r="G26" s="260" t="s">
        <v>441</v>
      </c>
      <c r="H26" s="251">
        <f t="shared" si="0"/>
        <v>32000</v>
      </c>
      <c r="I26" s="187">
        <f>'RESUM. GASTO SOLICIIT. SUBPART '!AC79-J70</f>
        <v>32000</v>
      </c>
      <c r="J26" s="127"/>
      <c r="K26" s="223"/>
    </row>
    <row r="27" spans="1:11" x14ac:dyDescent="0.2">
      <c r="A27" s="67"/>
      <c r="B27" s="161"/>
      <c r="C27" s="151"/>
      <c r="D27" s="146"/>
      <c r="E27" s="151"/>
      <c r="F27" s="253">
        <v>2</v>
      </c>
      <c r="G27" s="259" t="s">
        <v>65</v>
      </c>
      <c r="H27" s="266">
        <f>H28+H32+H34+H37+H39</f>
        <v>142356.77000000002</v>
      </c>
      <c r="I27" s="187"/>
      <c r="J27" s="127"/>
      <c r="K27" s="223"/>
    </row>
    <row r="28" spans="1:11" x14ac:dyDescent="0.2">
      <c r="A28" s="67"/>
      <c r="B28" s="161"/>
      <c r="C28" s="151"/>
      <c r="D28" s="146"/>
      <c r="E28" s="151"/>
      <c r="F28" s="253">
        <v>2.0099999999999998</v>
      </c>
      <c r="G28" s="259" t="s">
        <v>442</v>
      </c>
      <c r="H28" s="266">
        <f>H29+H30+H31</f>
        <v>67441.77</v>
      </c>
      <c r="I28" s="187"/>
      <c r="J28" s="127"/>
      <c r="K28" s="223"/>
    </row>
    <row r="29" spans="1:11" x14ac:dyDescent="0.2">
      <c r="A29" s="67"/>
      <c r="B29" s="161"/>
      <c r="C29" s="151"/>
      <c r="D29" s="146"/>
      <c r="E29" s="151"/>
      <c r="F29" s="254" t="s">
        <v>82</v>
      </c>
      <c r="G29" s="260" t="s">
        <v>443</v>
      </c>
      <c r="H29" s="251">
        <f t="shared" ref="H29:H31" si="1">I29+J29</f>
        <v>44441.770000000004</v>
      </c>
      <c r="I29" s="187"/>
      <c r="J29" s="127">
        <f>'RESUM. GASTO SOLICIIT. SUBPART '!AB93-'Superavit Libre y Específico'!J75-22461.23</f>
        <v>44441.770000000004</v>
      </c>
      <c r="K29" s="223"/>
    </row>
    <row r="30" spans="1:11" x14ac:dyDescent="0.2">
      <c r="A30" s="67"/>
      <c r="B30" s="161"/>
      <c r="C30" s="151"/>
      <c r="D30" s="146"/>
      <c r="E30" s="151"/>
      <c r="F30" s="254" t="s">
        <v>212</v>
      </c>
      <c r="G30" s="260" t="s">
        <v>444</v>
      </c>
      <c r="H30" s="251">
        <f t="shared" si="1"/>
        <v>3000</v>
      </c>
      <c r="I30" s="187"/>
      <c r="J30" s="127">
        <f>'RESUM. GASTO SOLICIIT. SUBPART '!AC95</f>
        <v>3000</v>
      </c>
      <c r="K30" s="223"/>
    </row>
    <row r="31" spans="1:11" x14ac:dyDescent="0.2">
      <c r="A31" s="67"/>
      <c r="B31" s="161"/>
      <c r="C31" s="151"/>
      <c r="D31" s="146"/>
      <c r="E31" s="151"/>
      <c r="F31" s="254" t="s">
        <v>114</v>
      </c>
      <c r="G31" s="260" t="s">
        <v>445</v>
      </c>
      <c r="H31" s="251">
        <f t="shared" si="1"/>
        <v>20000</v>
      </c>
      <c r="I31" s="187"/>
      <c r="J31" s="127">
        <f>'RESUM. GASTO SOLICIIT. SUBPART '!AC97</f>
        <v>20000</v>
      </c>
      <c r="K31" s="223"/>
    </row>
    <row r="32" spans="1:11" x14ac:dyDescent="0.2">
      <c r="A32" s="67"/>
      <c r="B32" s="161"/>
      <c r="C32" s="151"/>
      <c r="D32" s="146"/>
      <c r="E32" s="151"/>
      <c r="F32" s="253">
        <v>2.02</v>
      </c>
      <c r="G32" s="259" t="s">
        <v>446</v>
      </c>
      <c r="H32" s="266">
        <f>H33</f>
        <v>47000</v>
      </c>
      <c r="I32" s="187"/>
      <c r="J32" s="127"/>
      <c r="K32" s="223"/>
    </row>
    <row r="33" spans="1:11" x14ac:dyDescent="0.2">
      <c r="A33" s="67"/>
      <c r="B33" s="161"/>
      <c r="C33" s="151"/>
      <c r="D33" s="146"/>
      <c r="E33" s="151"/>
      <c r="F33" s="254" t="s">
        <v>218</v>
      </c>
      <c r="G33" s="260" t="s">
        <v>447</v>
      </c>
      <c r="H33" s="251">
        <f>I33+J33</f>
        <v>47000</v>
      </c>
      <c r="I33" s="187"/>
      <c r="J33" s="127">
        <f>'RESUM. GASTO SOLICIIT. SUBPART '!AC102</f>
        <v>47000</v>
      </c>
      <c r="K33" s="223"/>
    </row>
    <row r="34" spans="1:11" x14ac:dyDescent="0.2">
      <c r="A34" s="67"/>
      <c r="B34" s="161"/>
      <c r="C34" s="151"/>
      <c r="D34" s="146"/>
      <c r="E34" s="151"/>
      <c r="F34" s="253" t="s">
        <v>100</v>
      </c>
      <c r="G34" s="259" t="s">
        <v>448</v>
      </c>
      <c r="H34" s="266">
        <f>H35+H36</f>
        <v>25915</v>
      </c>
      <c r="I34" s="187"/>
      <c r="J34" s="127"/>
      <c r="K34" s="223"/>
    </row>
    <row r="35" spans="1:11" x14ac:dyDescent="0.2">
      <c r="A35" s="67"/>
      <c r="B35" s="161"/>
      <c r="C35" s="151"/>
      <c r="D35" s="146"/>
      <c r="E35" s="151"/>
      <c r="F35" s="254" t="s">
        <v>431</v>
      </c>
      <c r="G35" s="260" t="s">
        <v>449</v>
      </c>
      <c r="H35" s="251">
        <f t="shared" ref="H35:H36" si="2">I35+J35</f>
        <v>3465</v>
      </c>
      <c r="I35" s="187">
        <f>'RESUM. GASTO SOLICIIT. SUBPART '!H112</f>
        <v>115</v>
      </c>
      <c r="J35" s="127">
        <f>'RESUM. GASTO SOLICIIT. SUBPART '!AB112</f>
        <v>3350</v>
      </c>
      <c r="K35" s="223"/>
    </row>
    <row r="36" spans="1:11" x14ac:dyDescent="0.2">
      <c r="A36" s="67"/>
      <c r="B36" s="161"/>
      <c r="C36" s="151"/>
      <c r="D36" s="146"/>
      <c r="E36" s="151"/>
      <c r="F36" s="254" t="s">
        <v>84</v>
      </c>
      <c r="G36" s="260" t="s">
        <v>450</v>
      </c>
      <c r="H36" s="251">
        <f t="shared" si="2"/>
        <v>22450</v>
      </c>
      <c r="I36" s="187">
        <f>'RESUM. GASTO SOLICIIT. SUBPART '!H113</f>
        <v>7370</v>
      </c>
      <c r="J36" s="127">
        <f>'RESUM. GASTO SOLICIIT. SUBPART '!AB113</f>
        <v>15080</v>
      </c>
      <c r="K36" s="223"/>
    </row>
    <row r="37" spans="1:11" hidden="1" x14ac:dyDescent="0.2">
      <c r="A37" s="67"/>
      <c r="B37" s="161"/>
      <c r="C37" s="151"/>
      <c r="D37" s="146"/>
      <c r="E37" s="151"/>
      <c r="F37" s="253">
        <v>2.0499999999999998</v>
      </c>
      <c r="G37" s="259" t="s">
        <v>451</v>
      </c>
      <c r="H37" s="266">
        <f>H38</f>
        <v>0</v>
      </c>
      <c r="I37" s="187"/>
      <c r="J37" s="127"/>
      <c r="K37" s="223"/>
    </row>
    <row r="38" spans="1:11" hidden="1" x14ac:dyDescent="0.2">
      <c r="A38" s="67"/>
      <c r="B38" s="161"/>
      <c r="C38" s="151"/>
      <c r="D38" s="146"/>
      <c r="E38" s="151"/>
      <c r="F38" s="254" t="s">
        <v>235</v>
      </c>
      <c r="G38" s="260" t="s">
        <v>452</v>
      </c>
      <c r="H38" s="251">
        <f>I38+J38</f>
        <v>0</v>
      </c>
      <c r="I38" s="187"/>
      <c r="J38" s="127"/>
      <c r="K38" s="223"/>
    </row>
    <row r="39" spans="1:11" x14ac:dyDescent="0.2">
      <c r="A39" s="67"/>
      <c r="B39" s="161"/>
      <c r="C39" s="151"/>
      <c r="D39" s="146"/>
      <c r="E39" s="151"/>
      <c r="F39" s="253">
        <v>2.99</v>
      </c>
      <c r="G39" s="259" t="s">
        <v>453</v>
      </c>
      <c r="H39" s="266">
        <f>H40</f>
        <v>2000</v>
      </c>
      <c r="I39" s="187"/>
      <c r="J39" s="127"/>
      <c r="K39" s="223"/>
    </row>
    <row r="40" spans="1:11" x14ac:dyDescent="0.2">
      <c r="A40" s="67"/>
      <c r="B40" s="161"/>
      <c r="C40" s="151"/>
      <c r="D40" s="146"/>
      <c r="E40" s="151"/>
      <c r="F40" s="254" t="s">
        <v>239</v>
      </c>
      <c r="G40" s="260" t="s">
        <v>454</v>
      </c>
      <c r="H40" s="251">
        <f>I40+J40</f>
        <v>2000</v>
      </c>
      <c r="I40" s="187"/>
      <c r="J40" s="127">
        <f>'RESUM. GASTO SOLICIIT. SUBPART '!AC119</f>
        <v>2000</v>
      </c>
      <c r="K40" s="223"/>
    </row>
    <row r="41" spans="1:11" x14ac:dyDescent="0.2">
      <c r="A41" s="67"/>
      <c r="B41" s="161"/>
      <c r="C41" s="151"/>
      <c r="D41" s="146"/>
      <c r="E41" s="151"/>
      <c r="F41" s="253">
        <v>5</v>
      </c>
      <c r="G41" s="259" t="s">
        <v>66</v>
      </c>
      <c r="H41" s="266">
        <f>H42+H51+H56</f>
        <v>123651.89</v>
      </c>
      <c r="I41" s="187"/>
      <c r="J41" s="127"/>
      <c r="K41" s="223"/>
    </row>
    <row r="42" spans="1:11" x14ac:dyDescent="0.2">
      <c r="A42" s="67"/>
      <c r="B42" s="161"/>
      <c r="C42" s="151"/>
      <c r="D42" s="146"/>
      <c r="E42" s="151"/>
      <c r="F42" s="253">
        <v>5.01</v>
      </c>
      <c r="G42" s="259" t="s">
        <v>455</v>
      </c>
      <c r="H42" s="266">
        <f>H43+H44+H45+H46+H47+H48+H49+H50</f>
        <v>117885.19</v>
      </c>
      <c r="I42" s="187"/>
      <c r="J42" s="127"/>
      <c r="K42" s="223"/>
    </row>
    <row r="43" spans="1:11" x14ac:dyDescent="0.2">
      <c r="A43" s="67"/>
      <c r="B43" s="161"/>
      <c r="C43" s="151"/>
      <c r="D43" s="146"/>
      <c r="E43" s="151"/>
      <c r="F43" s="254" t="s">
        <v>123</v>
      </c>
      <c r="G43" s="260" t="s">
        <v>456</v>
      </c>
      <c r="H43" s="251">
        <f t="shared" ref="H43:H50" si="3">I43+J43</f>
        <v>4670</v>
      </c>
      <c r="I43" s="187"/>
      <c r="J43" s="127">
        <f>'RESUM. GASTO SOLICIIT. SUBPART '!AC131</f>
        <v>4670</v>
      </c>
      <c r="K43" s="223"/>
    </row>
    <row r="44" spans="1:11" hidden="1" x14ac:dyDescent="0.2">
      <c r="A44" s="67"/>
      <c r="B44" s="161"/>
      <c r="C44" s="151"/>
      <c r="D44" s="146"/>
      <c r="E44" s="151"/>
      <c r="F44" s="254" t="s">
        <v>124</v>
      </c>
      <c r="G44" s="260" t="s">
        <v>457</v>
      </c>
      <c r="H44" s="251">
        <f t="shared" si="3"/>
        <v>0</v>
      </c>
      <c r="I44" s="187"/>
      <c r="J44" s="127"/>
      <c r="K44" s="223"/>
    </row>
    <row r="45" spans="1:11" x14ac:dyDescent="0.2">
      <c r="A45" s="67"/>
      <c r="B45" s="161"/>
      <c r="C45" s="151"/>
      <c r="D45" s="146"/>
      <c r="E45" s="151"/>
      <c r="F45" s="254" t="s">
        <v>85</v>
      </c>
      <c r="G45" s="260" t="s">
        <v>458</v>
      </c>
      <c r="H45" s="251">
        <f t="shared" si="3"/>
        <v>4295</v>
      </c>
      <c r="I45" s="187">
        <f>'RESUM. GASTO SOLICIIT. SUBPART '!H133</f>
        <v>2900</v>
      </c>
      <c r="J45" s="127">
        <f>'RESUM. GASTO SOLICIIT. SUBPART '!AC133-I45</f>
        <v>1395</v>
      </c>
      <c r="K45" s="223"/>
    </row>
    <row r="46" spans="1:11" x14ac:dyDescent="0.2">
      <c r="A46" s="67"/>
      <c r="B46" s="161"/>
      <c r="C46" s="151"/>
      <c r="D46" s="146"/>
      <c r="E46" s="151"/>
      <c r="F46" s="254" t="s">
        <v>252</v>
      </c>
      <c r="G46" s="260" t="s">
        <v>459</v>
      </c>
      <c r="H46" s="251">
        <f t="shared" si="3"/>
        <v>11810</v>
      </c>
      <c r="I46" s="187">
        <f>'RESUM. GASTO SOLICIIT. SUBPART '!H134</f>
        <v>2411</v>
      </c>
      <c r="J46" s="127">
        <f>'RESUM. GASTO SOLICIIT. SUBPART '!AC134-I46</f>
        <v>9399</v>
      </c>
      <c r="K46" s="223"/>
    </row>
    <row r="47" spans="1:11" x14ac:dyDescent="0.2">
      <c r="A47" s="67"/>
      <c r="B47" s="161"/>
      <c r="C47" s="151"/>
      <c r="D47" s="146"/>
      <c r="E47" s="151"/>
      <c r="F47" s="254" t="s">
        <v>86</v>
      </c>
      <c r="G47" s="260" t="s">
        <v>460</v>
      </c>
      <c r="H47" s="251">
        <f t="shared" si="3"/>
        <v>21422</v>
      </c>
      <c r="I47" s="187">
        <f>'RESUM. GASTO SOLICIIT. SUBPART '!H135</f>
        <v>8246</v>
      </c>
      <c r="J47" s="127">
        <f>'RESUM. GASTO SOLICIIT. SUBPART '!AC135-I47</f>
        <v>13176</v>
      </c>
      <c r="K47" s="223"/>
    </row>
    <row r="48" spans="1:11" x14ac:dyDescent="0.2">
      <c r="A48" s="67"/>
      <c r="B48" s="161"/>
      <c r="C48" s="151"/>
      <c r="D48" s="146"/>
      <c r="E48" s="151"/>
      <c r="F48" s="254" t="s">
        <v>115</v>
      </c>
      <c r="G48" s="260" t="s">
        <v>461</v>
      </c>
      <c r="H48" s="251">
        <f t="shared" si="3"/>
        <v>67415.19</v>
      </c>
      <c r="I48" s="187"/>
      <c r="J48" s="127">
        <f>'RESUM. GASTO SOLICIIT. SUBPART '!AC136-I48</f>
        <v>67415.19</v>
      </c>
      <c r="K48" s="223"/>
    </row>
    <row r="49" spans="1:11" x14ac:dyDescent="0.2">
      <c r="A49" s="67"/>
      <c r="B49" s="161"/>
      <c r="C49" s="151"/>
      <c r="D49" s="146"/>
      <c r="E49" s="151"/>
      <c r="F49" s="254" t="s">
        <v>254</v>
      </c>
      <c r="G49" s="260" t="s">
        <v>560</v>
      </c>
      <c r="H49" s="251">
        <f t="shared" si="3"/>
        <v>140</v>
      </c>
      <c r="I49" s="187">
        <f>'RESUM. GASTO SOLICIIT. SUBPART '!H137</f>
        <v>80</v>
      </c>
      <c r="J49" s="127">
        <f>'RESUM. GASTO SOLICIIT. SUBPART '!AC137-I49</f>
        <v>60</v>
      </c>
      <c r="K49" s="223"/>
    </row>
    <row r="50" spans="1:11" x14ac:dyDescent="0.2">
      <c r="A50" s="67"/>
      <c r="B50" s="161"/>
      <c r="C50" s="151"/>
      <c r="D50" s="146"/>
      <c r="E50" s="151"/>
      <c r="F50" s="254" t="s">
        <v>255</v>
      </c>
      <c r="G50" s="260" t="s">
        <v>462</v>
      </c>
      <c r="H50" s="251">
        <f t="shared" si="3"/>
        <v>8133</v>
      </c>
      <c r="I50" s="187"/>
      <c r="J50" s="127">
        <f>'RESUM. GASTO SOLICIIT. SUBPART '!AC138-I50</f>
        <v>8133</v>
      </c>
      <c r="K50" s="223"/>
    </row>
    <row r="51" spans="1:11" x14ac:dyDescent="0.2">
      <c r="A51" s="67"/>
      <c r="B51" s="161"/>
      <c r="C51" s="151"/>
      <c r="D51" s="146"/>
      <c r="E51" s="151"/>
      <c r="F51" s="253">
        <v>5.0199999999999996</v>
      </c>
      <c r="G51" s="259" t="s">
        <v>463</v>
      </c>
      <c r="H51" s="266">
        <f>H52+H53+H54+H55</f>
        <v>5000</v>
      </c>
      <c r="I51" s="187"/>
      <c r="J51" s="127"/>
      <c r="K51" s="223"/>
    </row>
    <row r="52" spans="1:11" hidden="1" x14ac:dyDescent="0.2">
      <c r="A52" s="67"/>
      <c r="B52" s="161"/>
      <c r="C52" s="151"/>
      <c r="D52" s="146"/>
      <c r="E52" s="151"/>
      <c r="F52" s="255" t="s">
        <v>32</v>
      </c>
      <c r="G52" s="260" t="s">
        <v>33</v>
      </c>
      <c r="H52" s="251">
        <f t="shared" ref="H52:H55" si="4">I52+J52</f>
        <v>0</v>
      </c>
      <c r="I52" s="187"/>
      <c r="J52" s="127"/>
      <c r="K52" s="223"/>
    </row>
    <row r="53" spans="1:11" hidden="1" x14ac:dyDescent="0.2">
      <c r="A53" s="67"/>
      <c r="B53" s="161"/>
      <c r="C53" s="151"/>
      <c r="D53" s="146"/>
      <c r="E53" s="151"/>
      <c r="F53" s="255" t="s">
        <v>34</v>
      </c>
      <c r="G53" s="260" t="s">
        <v>35</v>
      </c>
      <c r="H53" s="251">
        <f t="shared" si="4"/>
        <v>0</v>
      </c>
      <c r="I53" s="187"/>
      <c r="J53" s="127"/>
      <c r="K53" s="223"/>
    </row>
    <row r="54" spans="1:11" hidden="1" x14ac:dyDescent="0.2">
      <c r="A54" s="67"/>
      <c r="B54" s="161"/>
      <c r="C54" s="151"/>
      <c r="D54" s="146"/>
      <c r="E54" s="151"/>
      <c r="F54" s="255" t="s">
        <v>36</v>
      </c>
      <c r="G54" s="260" t="s">
        <v>37</v>
      </c>
      <c r="H54" s="251">
        <f t="shared" si="4"/>
        <v>0</v>
      </c>
      <c r="I54" s="187"/>
      <c r="J54" s="127"/>
      <c r="K54" s="223"/>
    </row>
    <row r="55" spans="1:11" x14ac:dyDescent="0.2">
      <c r="A55" s="67"/>
      <c r="B55" s="161"/>
      <c r="C55" s="151"/>
      <c r="D55" s="146"/>
      <c r="E55" s="151"/>
      <c r="F55" s="254" t="s">
        <v>125</v>
      </c>
      <c r="G55" s="260" t="s">
        <v>464</v>
      </c>
      <c r="H55" s="251">
        <f t="shared" si="4"/>
        <v>5000</v>
      </c>
      <c r="I55" s="187"/>
      <c r="J55" s="127">
        <f>'RESUM. GASTO SOLICIIT. SUBPART '!AC143</f>
        <v>5000</v>
      </c>
      <c r="K55" s="223"/>
    </row>
    <row r="56" spans="1:11" x14ac:dyDescent="0.2">
      <c r="A56" s="67"/>
      <c r="B56" s="161"/>
      <c r="C56" s="151"/>
      <c r="D56" s="146"/>
      <c r="E56" s="151"/>
      <c r="F56" s="253">
        <v>5.99</v>
      </c>
      <c r="G56" s="259" t="s">
        <v>465</v>
      </c>
      <c r="H56" s="266">
        <f>H57+H58</f>
        <v>766.7</v>
      </c>
      <c r="I56" s="187"/>
      <c r="J56" s="127"/>
      <c r="K56" s="223"/>
    </row>
    <row r="57" spans="1:11" hidden="1" x14ac:dyDescent="0.2">
      <c r="A57" s="67"/>
      <c r="B57" s="161"/>
      <c r="C57" s="151"/>
      <c r="D57" s="146"/>
      <c r="E57" s="151"/>
      <c r="F57" s="254" t="s">
        <v>257</v>
      </c>
      <c r="G57" s="260" t="s">
        <v>466</v>
      </c>
      <c r="H57" s="251">
        <f>I57+J57</f>
        <v>0</v>
      </c>
      <c r="I57" s="187"/>
      <c r="J57" s="127"/>
      <c r="K57" s="223"/>
    </row>
    <row r="58" spans="1:11" x14ac:dyDescent="0.2">
      <c r="A58" s="67"/>
      <c r="B58" s="161"/>
      <c r="C58" s="151"/>
      <c r="D58" s="146"/>
      <c r="E58" s="151"/>
      <c r="F58" s="254" t="s">
        <v>513</v>
      </c>
      <c r="G58" s="260" t="s">
        <v>514</v>
      </c>
      <c r="H58" s="251">
        <f>I58+J58</f>
        <v>766.7</v>
      </c>
      <c r="I58" s="187"/>
      <c r="J58" s="127">
        <f>'RESUM. GASTO SOLICIIT. SUBPART '!AC146</f>
        <v>766.7</v>
      </c>
      <c r="K58" s="223"/>
    </row>
    <row r="59" spans="1:11" x14ac:dyDescent="0.2">
      <c r="A59" s="67"/>
      <c r="B59" s="161"/>
      <c r="C59" s="151"/>
      <c r="D59" s="146"/>
      <c r="E59" s="151"/>
      <c r="F59" s="253">
        <v>6</v>
      </c>
      <c r="G59" s="259" t="s">
        <v>321</v>
      </c>
      <c r="H59" s="266">
        <f>H60</f>
        <v>16000</v>
      </c>
      <c r="I59" s="187"/>
      <c r="J59" s="127"/>
      <c r="K59" s="223"/>
    </row>
    <row r="60" spans="1:11" x14ac:dyDescent="0.2">
      <c r="A60" s="67"/>
      <c r="B60" s="161"/>
      <c r="C60" s="151"/>
      <c r="D60" s="146"/>
      <c r="E60" s="151"/>
      <c r="F60" s="253" t="s">
        <v>260</v>
      </c>
      <c r="G60" s="259" t="s">
        <v>261</v>
      </c>
      <c r="H60" s="266">
        <f>H61</f>
        <v>16000</v>
      </c>
      <c r="I60" s="187"/>
      <c r="J60" s="127"/>
      <c r="K60" s="223"/>
    </row>
    <row r="61" spans="1:11" x14ac:dyDescent="0.2">
      <c r="A61" s="67"/>
      <c r="B61" s="161"/>
      <c r="C61" s="151"/>
      <c r="D61" s="146"/>
      <c r="E61" s="151"/>
      <c r="F61" s="256" t="s">
        <v>390</v>
      </c>
      <c r="G61" s="261" t="s">
        <v>392</v>
      </c>
      <c r="H61" s="251">
        <f>I61+J61</f>
        <v>16000</v>
      </c>
      <c r="I61" s="187">
        <f>'RESUM. GASTO SOLICIIT. SUBPART '!H149</f>
        <v>16000</v>
      </c>
      <c r="J61" s="127"/>
      <c r="K61" s="223"/>
    </row>
    <row r="62" spans="1:11" x14ac:dyDescent="0.2">
      <c r="A62" s="67"/>
      <c r="B62" s="161"/>
      <c r="C62" s="151"/>
      <c r="D62" s="146"/>
      <c r="E62" s="151"/>
      <c r="F62" s="252"/>
      <c r="G62" s="146"/>
      <c r="H62" s="251"/>
      <c r="I62" s="187"/>
      <c r="J62" s="127"/>
      <c r="K62" s="223"/>
    </row>
    <row r="63" spans="1:11" x14ac:dyDescent="0.2">
      <c r="A63" s="66" t="s">
        <v>352</v>
      </c>
      <c r="B63" s="74" t="s">
        <v>353</v>
      </c>
      <c r="C63" s="151"/>
      <c r="D63" s="146"/>
      <c r="E63" s="151"/>
      <c r="F63" s="252"/>
      <c r="G63" s="146"/>
      <c r="H63" s="187"/>
      <c r="I63" s="187"/>
      <c r="J63" s="127"/>
      <c r="K63" s="211"/>
    </row>
    <row r="64" spans="1:11" ht="22.5" x14ac:dyDescent="0.2">
      <c r="A64" s="78"/>
      <c r="B64" s="161" t="s">
        <v>413</v>
      </c>
      <c r="C64" s="151"/>
      <c r="D64" s="146"/>
      <c r="E64" s="151">
        <f>INGRESOS!C48</f>
        <v>40330.07</v>
      </c>
      <c r="F64" s="252"/>
      <c r="G64" s="146"/>
      <c r="H64" s="187"/>
      <c r="I64" s="187"/>
      <c r="J64" s="127"/>
      <c r="K64" s="211">
        <f>H65+H73</f>
        <v>40330.07</v>
      </c>
    </row>
    <row r="65" spans="1:11" x14ac:dyDescent="0.2">
      <c r="A65" s="67"/>
      <c r="B65" s="161"/>
      <c r="C65" s="151"/>
      <c r="D65" s="146"/>
      <c r="E65" s="151"/>
      <c r="F65" s="304">
        <v>1</v>
      </c>
      <c r="G65" s="145" t="s">
        <v>64</v>
      </c>
      <c r="H65" s="266">
        <f>H66+H69+H71</f>
        <v>25330.07</v>
      </c>
      <c r="I65" s="187"/>
      <c r="J65" s="127"/>
      <c r="K65" s="211"/>
    </row>
    <row r="66" spans="1:11" x14ac:dyDescent="0.2">
      <c r="A66" s="67"/>
      <c r="B66" s="161"/>
      <c r="C66" s="151"/>
      <c r="D66" s="146"/>
      <c r="E66" s="151"/>
      <c r="F66" s="306" t="s">
        <v>556</v>
      </c>
      <c r="G66" s="307" t="s">
        <v>435</v>
      </c>
      <c r="H66" s="266">
        <f>H67+H68</f>
        <v>23830.07</v>
      </c>
      <c r="I66" s="187"/>
      <c r="J66" s="127"/>
      <c r="K66" s="211"/>
    </row>
    <row r="67" spans="1:11" x14ac:dyDescent="0.2">
      <c r="A67" s="67"/>
      <c r="B67" s="161"/>
      <c r="C67" s="151"/>
      <c r="D67" s="146"/>
      <c r="E67" s="151"/>
      <c r="F67" s="303" t="s">
        <v>185</v>
      </c>
      <c r="G67" s="305" t="s">
        <v>554</v>
      </c>
      <c r="H67" s="251">
        <f t="shared" ref="H67:H72" si="5">I67+J67</f>
        <v>3500</v>
      </c>
      <c r="I67" s="187"/>
      <c r="J67" s="127">
        <f>'RESUM. GASTO SOLICIIT. SUBPART '!S64</f>
        <v>3500</v>
      </c>
      <c r="K67" s="211"/>
    </row>
    <row r="68" spans="1:11" x14ac:dyDescent="0.2">
      <c r="A68" s="67"/>
      <c r="B68" s="161"/>
      <c r="C68" s="151"/>
      <c r="D68" s="146"/>
      <c r="E68" s="151"/>
      <c r="F68" s="303" t="s">
        <v>78</v>
      </c>
      <c r="G68" s="305" t="s">
        <v>436</v>
      </c>
      <c r="H68" s="251">
        <f t="shared" si="5"/>
        <v>20330.07</v>
      </c>
      <c r="I68" s="187"/>
      <c r="J68" s="127">
        <f>'RESUM. GASTO SOLICIIT. SUBPART '!S65</f>
        <v>20330.07</v>
      </c>
      <c r="K68" s="211"/>
    </row>
    <row r="69" spans="1:11" x14ac:dyDescent="0.2">
      <c r="A69" s="67"/>
      <c r="B69" s="161"/>
      <c r="C69" s="151"/>
      <c r="D69" s="146"/>
      <c r="E69" s="151"/>
      <c r="F69" s="306" t="s">
        <v>557</v>
      </c>
      <c r="G69" s="145" t="s">
        <v>439</v>
      </c>
      <c r="H69" s="266">
        <f>H70</f>
        <v>500</v>
      </c>
      <c r="I69" s="187"/>
      <c r="J69" s="127"/>
      <c r="K69" s="211"/>
    </row>
    <row r="70" spans="1:11" x14ac:dyDescent="0.2">
      <c r="A70" s="67"/>
      <c r="B70" s="161"/>
      <c r="C70" s="151"/>
      <c r="D70" s="146"/>
      <c r="E70" s="151"/>
      <c r="F70" s="303" t="s">
        <v>81</v>
      </c>
      <c r="G70" s="146" t="s">
        <v>441</v>
      </c>
      <c r="H70" s="251">
        <f t="shared" si="5"/>
        <v>500</v>
      </c>
      <c r="I70" s="187"/>
      <c r="J70" s="127">
        <f>'RESUM. GASTO SOLICIIT. SUBPART '!S79</f>
        <v>500</v>
      </c>
      <c r="K70" s="211"/>
    </row>
    <row r="71" spans="1:11" x14ac:dyDescent="0.2">
      <c r="A71" s="67"/>
      <c r="B71" s="161"/>
      <c r="C71" s="151"/>
      <c r="D71" s="146"/>
      <c r="E71" s="151"/>
      <c r="F71" s="306" t="s">
        <v>558</v>
      </c>
      <c r="G71" s="145" t="s">
        <v>555</v>
      </c>
      <c r="H71" s="266">
        <f>H72</f>
        <v>1000</v>
      </c>
      <c r="I71" s="187"/>
      <c r="J71" s="127"/>
      <c r="K71" s="211"/>
    </row>
    <row r="72" spans="1:11" x14ac:dyDescent="0.2">
      <c r="A72" s="67"/>
      <c r="B72" s="161"/>
      <c r="C72" s="151"/>
      <c r="D72" s="146"/>
      <c r="E72" s="151"/>
      <c r="F72" s="303" t="s">
        <v>207</v>
      </c>
      <c r="G72" s="146" t="s">
        <v>208</v>
      </c>
      <c r="H72" s="251">
        <f t="shared" si="5"/>
        <v>1000</v>
      </c>
      <c r="I72" s="187"/>
      <c r="J72" s="127">
        <f>'RESUM. GASTO SOLICIIT. SUBPART '!S89</f>
        <v>1000</v>
      </c>
      <c r="K72" s="211"/>
    </row>
    <row r="73" spans="1:11" x14ac:dyDescent="0.2">
      <c r="A73" s="67"/>
      <c r="B73" s="161"/>
      <c r="C73" s="151"/>
      <c r="D73" s="146"/>
      <c r="E73" s="151"/>
      <c r="F73" s="304">
        <v>2</v>
      </c>
      <c r="G73" s="145" t="s">
        <v>65</v>
      </c>
      <c r="H73" s="266">
        <f>H74</f>
        <v>15000</v>
      </c>
      <c r="I73" s="187"/>
      <c r="J73" s="127"/>
      <c r="K73" s="211"/>
    </row>
    <row r="74" spans="1:11" x14ac:dyDescent="0.2">
      <c r="A74" s="67"/>
      <c r="B74" s="161"/>
      <c r="C74" s="151"/>
      <c r="D74" s="146"/>
      <c r="E74" s="151"/>
      <c r="F74" s="306" t="s">
        <v>559</v>
      </c>
      <c r="G74" s="145" t="s">
        <v>442</v>
      </c>
      <c r="H74" s="266">
        <f>H75+H76</f>
        <v>15000</v>
      </c>
      <c r="I74" s="187"/>
      <c r="J74" s="127"/>
      <c r="K74" s="211"/>
    </row>
    <row r="75" spans="1:11" x14ac:dyDescent="0.2">
      <c r="A75" s="67"/>
      <c r="B75" s="161"/>
      <c r="C75" s="151"/>
      <c r="D75" s="146"/>
      <c r="E75" s="151"/>
      <c r="F75" s="303" t="s">
        <v>82</v>
      </c>
      <c r="G75" s="146" t="s">
        <v>443</v>
      </c>
      <c r="H75" s="251">
        <f t="shared" ref="H75:H76" si="6">I75+J75</f>
        <v>15000</v>
      </c>
      <c r="I75" s="187"/>
      <c r="J75" s="127">
        <f>'RESUM. GASTO SOLICIIT. SUBPART '!S93</f>
        <v>15000</v>
      </c>
      <c r="K75" s="211"/>
    </row>
    <row r="76" spans="1:11" hidden="1" x14ac:dyDescent="0.2">
      <c r="A76" s="67"/>
      <c r="B76" s="161"/>
      <c r="C76" s="151"/>
      <c r="D76" s="146"/>
      <c r="E76" s="151"/>
      <c r="F76" s="303" t="s">
        <v>114</v>
      </c>
      <c r="G76" s="146" t="s">
        <v>445</v>
      </c>
      <c r="H76" s="251">
        <f t="shared" si="6"/>
        <v>0</v>
      </c>
      <c r="I76" s="187"/>
      <c r="J76" s="127"/>
      <c r="K76" s="211"/>
    </row>
    <row r="77" spans="1:11" x14ac:dyDescent="0.2">
      <c r="A77" s="67"/>
      <c r="B77" s="161" t="s">
        <v>365</v>
      </c>
      <c r="C77" s="151"/>
      <c r="D77" s="146"/>
      <c r="E77" s="222">
        <f>INGRESOS!C49</f>
        <v>105000</v>
      </c>
      <c r="F77" s="257"/>
      <c r="G77" s="262"/>
      <c r="H77" s="251"/>
      <c r="I77" s="187"/>
      <c r="J77" s="127"/>
      <c r="K77" s="223">
        <f>H78</f>
        <v>105000</v>
      </c>
    </row>
    <row r="78" spans="1:11" x14ac:dyDescent="0.2">
      <c r="A78" s="67"/>
      <c r="B78" s="161"/>
      <c r="C78" s="151"/>
      <c r="D78" s="146"/>
      <c r="E78" s="222"/>
      <c r="F78" s="253">
        <v>5</v>
      </c>
      <c r="G78" s="259" t="s">
        <v>66</v>
      </c>
      <c r="H78" s="266">
        <f>H79</f>
        <v>105000</v>
      </c>
      <c r="I78" s="187"/>
      <c r="J78" s="127"/>
      <c r="K78" s="223"/>
    </row>
    <row r="79" spans="1:11" x14ac:dyDescent="0.2">
      <c r="A79" s="67"/>
      <c r="B79" s="161"/>
      <c r="C79" s="151"/>
      <c r="D79" s="146"/>
      <c r="E79" s="222"/>
      <c r="F79" s="253">
        <v>5.0199999999999996</v>
      </c>
      <c r="G79" s="259" t="s">
        <v>463</v>
      </c>
      <c r="H79" s="266">
        <f>H80+H81+H82+H83</f>
        <v>105000</v>
      </c>
      <c r="I79" s="187"/>
      <c r="J79" s="127"/>
      <c r="K79" s="223"/>
    </row>
    <row r="80" spans="1:11" x14ac:dyDescent="0.2">
      <c r="A80" s="67"/>
      <c r="B80" s="161"/>
      <c r="C80" s="151"/>
      <c r="D80" s="146"/>
      <c r="E80" s="222"/>
      <c r="F80" s="255" t="s">
        <v>32</v>
      </c>
      <c r="G80" s="263" t="s">
        <v>33</v>
      </c>
      <c r="H80" s="251">
        <f t="shared" ref="H80:H83" si="7">I80+J80</f>
        <v>105000</v>
      </c>
      <c r="I80" s="187"/>
      <c r="J80" s="228">
        <f>105000</f>
        <v>105000</v>
      </c>
      <c r="K80" s="223"/>
    </row>
    <row r="81" spans="1:11" hidden="1" x14ac:dyDescent="0.2">
      <c r="A81" s="67"/>
      <c r="B81" s="161"/>
      <c r="C81" s="151"/>
      <c r="D81" s="146"/>
      <c r="E81" s="222"/>
      <c r="F81" s="255" t="s">
        <v>34</v>
      </c>
      <c r="G81" s="263" t="s">
        <v>35</v>
      </c>
      <c r="H81" s="251">
        <f>I81+J81</f>
        <v>0</v>
      </c>
      <c r="I81" s="187"/>
      <c r="J81" s="228"/>
      <c r="K81" s="223"/>
    </row>
    <row r="82" spans="1:11" hidden="1" x14ac:dyDescent="0.2">
      <c r="A82" s="67"/>
      <c r="B82" s="161"/>
      <c r="C82" s="151"/>
      <c r="D82" s="146"/>
      <c r="E82" s="222"/>
      <c r="F82" s="255" t="s">
        <v>36</v>
      </c>
      <c r="G82" s="263" t="s">
        <v>37</v>
      </c>
      <c r="H82" s="251">
        <f>I82+J82</f>
        <v>0</v>
      </c>
      <c r="I82" s="187"/>
      <c r="J82" s="228"/>
      <c r="K82" s="223"/>
    </row>
    <row r="83" spans="1:11" hidden="1" x14ac:dyDescent="0.2">
      <c r="A83" s="67"/>
      <c r="B83" s="161"/>
      <c r="C83" s="151"/>
      <c r="D83" s="146"/>
      <c r="E83" s="222"/>
      <c r="F83" s="254" t="s">
        <v>125</v>
      </c>
      <c r="G83" s="260" t="s">
        <v>464</v>
      </c>
      <c r="H83" s="251">
        <f t="shared" si="7"/>
        <v>0</v>
      </c>
      <c r="I83" s="187"/>
      <c r="J83" s="228"/>
      <c r="K83" s="223"/>
    </row>
    <row r="84" spans="1:11" x14ac:dyDescent="0.2">
      <c r="A84" s="67"/>
      <c r="B84" s="161"/>
      <c r="C84" s="151"/>
      <c r="D84" s="146"/>
      <c r="E84" s="222"/>
      <c r="F84" s="257"/>
      <c r="G84" s="262"/>
      <c r="H84" s="251"/>
      <c r="I84" s="187"/>
      <c r="J84" s="127"/>
      <c r="K84" s="223"/>
    </row>
    <row r="85" spans="1:11" x14ac:dyDescent="0.2">
      <c r="A85" s="67"/>
      <c r="B85" s="161"/>
      <c r="C85" s="151"/>
      <c r="D85" s="146"/>
      <c r="E85" s="222"/>
      <c r="F85" s="257"/>
      <c r="G85" s="262"/>
      <c r="H85" s="251"/>
      <c r="I85" s="187"/>
      <c r="J85" s="127"/>
      <c r="K85" s="223"/>
    </row>
    <row r="86" spans="1:11" ht="13.5" thickBot="1" x14ac:dyDescent="0.25">
      <c r="A86" s="54"/>
      <c r="B86" s="8"/>
      <c r="C86" s="143"/>
      <c r="D86" s="142"/>
      <c r="E86" s="143"/>
      <c r="F86" s="207"/>
      <c r="G86" s="142"/>
      <c r="H86" s="141"/>
      <c r="I86" s="141"/>
      <c r="J86" s="195"/>
      <c r="K86" s="210"/>
    </row>
    <row r="87" spans="1:11" ht="13.5" thickBot="1" x14ac:dyDescent="0.25">
      <c r="A87" s="374" t="s">
        <v>333</v>
      </c>
      <c r="B87" s="375"/>
      <c r="C87" s="264">
        <f>C11</f>
        <v>553290.73</v>
      </c>
      <c r="D87" s="265"/>
      <c r="E87" s="81"/>
      <c r="F87" s="308"/>
      <c r="G87" s="91"/>
      <c r="H87" s="309"/>
      <c r="I87" s="310"/>
      <c r="J87" s="311"/>
      <c r="K87" s="212"/>
    </row>
    <row r="88" spans="1:11" ht="13.5" thickBot="1" x14ac:dyDescent="0.25">
      <c r="A88" s="341" t="s">
        <v>334</v>
      </c>
      <c r="B88" s="342"/>
      <c r="C88" s="342"/>
      <c r="D88" s="342"/>
      <c r="E88" s="342"/>
      <c r="F88" s="249"/>
      <c r="G88" s="249"/>
      <c r="H88" s="189">
        <f>SUM(H11:H87)</f>
        <v>1659872.1900000002</v>
      </c>
      <c r="I88" s="191"/>
      <c r="J88" s="202"/>
      <c r="K88" s="99">
        <f>SUM(K11:K87)</f>
        <v>553290.73</v>
      </c>
    </row>
    <row r="89" spans="1:11" ht="13.5" thickBot="1" x14ac:dyDescent="0.25">
      <c r="A89" s="341" t="s">
        <v>387</v>
      </c>
      <c r="B89" s="342"/>
      <c r="C89" s="342"/>
      <c r="D89" s="342"/>
      <c r="E89" s="342"/>
      <c r="F89" s="249"/>
      <c r="G89" s="249"/>
      <c r="H89" s="190"/>
      <c r="I89" s="191">
        <f>SUM(I11:I87)</f>
        <v>85872</v>
      </c>
      <c r="J89" s="202"/>
      <c r="K89" s="213">
        <f>I89</f>
        <v>85872</v>
      </c>
    </row>
    <row r="90" spans="1:11" ht="13.5" thickBot="1" x14ac:dyDescent="0.25">
      <c r="A90" s="341" t="s">
        <v>388</v>
      </c>
      <c r="B90" s="342"/>
      <c r="C90" s="342"/>
      <c r="D90" s="342"/>
      <c r="E90" s="342"/>
      <c r="F90" s="249"/>
      <c r="G90" s="249"/>
      <c r="H90" s="190"/>
      <c r="I90" s="191"/>
      <c r="J90" s="202">
        <f>SUM(J11:J87)</f>
        <v>467418.73000000004</v>
      </c>
      <c r="K90" s="213">
        <f>J90</f>
        <v>467418.73000000004</v>
      </c>
    </row>
    <row r="91" spans="1:11" ht="13.5" thickBot="1" x14ac:dyDescent="0.25">
      <c r="A91" s="341" t="s">
        <v>389</v>
      </c>
      <c r="B91" s="342"/>
      <c r="C91" s="342"/>
      <c r="D91" s="342"/>
      <c r="E91" s="342"/>
      <c r="F91" s="342"/>
      <c r="G91" s="342"/>
      <c r="H91" s="342"/>
      <c r="I91" s="342"/>
      <c r="J91" s="342"/>
      <c r="K91" s="214">
        <f>K89+K90</f>
        <v>553290.73</v>
      </c>
    </row>
    <row r="92" spans="1:11" x14ac:dyDescent="0.2">
      <c r="A92" s="1"/>
      <c r="D92" s="59"/>
    </row>
    <row r="93" spans="1:11" x14ac:dyDescent="0.2">
      <c r="A93" s="1"/>
      <c r="D93" s="59"/>
    </row>
    <row r="94" spans="1:11" x14ac:dyDescent="0.2">
      <c r="A94" s="1"/>
    </row>
    <row r="95" spans="1:11" x14ac:dyDescent="0.2">
      <c r="A95" s="1"/>
    </row>
    <row r="96" spans="1:11" x14ac:dyDescent="0.2">
      <c r="A96" s="1"/>
      <c r="C96" s="1"/>
      <c r="G96" s="1"/>
      <c r="I96" s="122"/>
    </row>
    <row r="97" spans="1:9" x14ac:dyDescent="0.2">
      <c r="A97" s="1"/>
      <c r="C97" s="122"/>
      <c r="G97" s="1"/>
      <c r="I97" s="122"/>
    </row>
  </sheetData>
  <mergeCells count="19">
    <mergeCell ref="A2:K2"/>
    <mergeCell ref="A8:E8"/>
    <mergeCell ref="K8:K9"/>
    <mergeCell ref="B9:B10"/>
    <mergeCell ref="C9:C10"/>
    <mergeCell ref="D9:D10"/>
    <mergeCell ref="F9:G9"/>
    <mergeCell ref="F8:J8"/>
    <mergeCell ref="A4:K4"/>
    <mergeCell ref="A5:K5"/>
    <mergeCell ref="A6:K6"/>
    <mergeCell ref="A90:E90"/>
    <mergeCell ref="A91:J91"/>
    <mergeCell ref="A9:A10"/>
    <mergeCell ref="A87:B87"/>
    <mergeCell ref="A88:E88"/>
    <mergeCell ref="A89:E89"/>
    <mergeCell ref="E9:E10"/>
    <mergeCell ref="H9:J9"/>
  </mergeCells>
  <printOptions horizontalCentered="1"/>
  <pageMargins left="0.11811023622047245" right="0.11811023622047245" top="0.43307086614173229" bottom="0.43307086614173229" header="0" footer="0"/>
  <pageSetup scale="78" orientation="landscape"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INGRESOS</vt:lpstr>
      <vt:lpstr>JUSTIFICACION DE INGRESOS</vt:lpstr>
      <vt:lpstr>RESUM. GASTO SOLICIIT. SUBPART </vt:lpstr>
      <vt:lpstr>JUSTIFICACION DE GASTO</vt:lpstr>
      <vt:lpstr>RES. GAST.  POR PORG. Y SUBPROG</vt:lpstr>
      <vt:lpstr>Est. Aplic. Fondos (Programa)</vt:lpstr>
      <vt:lpstr>Superavit Libre y Específico</vt:lpstr>
      <vt:lpstr>'JUSTIFICACION DE GASTO'!Títulos_a_imprimir</vt:lpstr>
      <vt:lpstr>'JUSTIFICACION DE INGRESOS'!Títulos_a_imprimir</vt:lpstr>
      <vt:lpstr>'RESUM. GASTO SOLICIIT. SUBPART '!Títulos_a_imprimir</vt:lpstr>
    </vt:vector>
  </TitlesOfParts>
  <Company>INTA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dc:creator>
  <cp:lastModifiedBy>Cesar</cp:lastModifiedBy>
  <cp:lastPrinted>2018-09-04T15:10:31Z</cp:lastPrinted>
  <dcterms:created xsi:type="dcterms:W3CDTF">2008-07-18T17:07:09Z</dcterms:created>
  <dcterms:modified xsi:type="dcterms:W3CDTF">2018-10-01T15:12:33Z</dcterms:modified>
</cp:coreProperties>
</file>